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MeCN" sheetId="2" r:id="rId1"/>
    <sheet name="TMS" sheetId="1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AF24" i="2" l="1"/>
  <c r="AC25" i="2" l="1"/>
  <c r="AC24" i="2"/>
  <c r="Y9" i="2" l="1"/>
  <c r="Y10" i="2"/>
  <c r="Y11" i="2"/>
  <c r="X4" i="2"/>
  <c r="Y4" i="2" s="1"/>
  <c r="X5" i="2"/>
  <c r="Y5" i="2" s="1"/>
  <c r="X6" i="2"/>
  <c r="Y6" i="2" s="1"/>
  <c r="X7" i="2"/>
  <c r="Y7" i="2" s="1"/>
  <c r="X8" i="2"/>
  <c r="X9" i="2"/>
  <c r="Z9" i="2" s="1"/>
  <c r="AA9" i="2" s="1"/>
  <c r="X10" i="2"/>
  <c r="Z10" i="2" s="1"/>
  <c r="AA10" i="2" s="1"/>
  <c r="X11" i="2"/>
  <c r="Z11" i="2" s="1"/>
  <c r="AA11" i="2" s="1"/>
  <c r="X12" i="2"/>
  <c r="Y12" i="2" s="1"/>
  <c r="X13" i="2"/>
  <c r="Y13" i="2" s="1"/>
  <c r="X14" i="2"/>
  <c r="Y14" i="2" s="1"/>
  <c r="X3" i="2"/>
  <c r="Y3" i="2" s="1"/>
  <c r="V4" i="2"/>
  <c r="V5" i="2"/>
  <c r="V6" i="2"/>
  <c r="V7" i="2"/>
  <c r="V8" i="2"/>
  <c r="V9" i="2"/>
  <c r="V10" i="2"/>
  <c r="V11" i="2"/>
  <c r="V12" i="2"/>
  <c r="V13" i="2"/>
  <c r="V14" i="2"/>
  <c r="V3" i="2"/>
  <c r="G31" i="2"/>
  <c r="G29" i="2"/>
  <c r="F21" i="2"/>
  <c r="D22" i="2" s="1"/>
  <c r="R13" i="2"/>
  <c r="Q13" i="2"/>
  <c r="D13" i="2"/>
  <c r="B13" i="2"/>
  <c r="F13" i="2" s="1"/>
  <c r="R12" i="2"/>
  <c r="Q12" i="2"/>
  <c r="D12" i="2"/>
  <c r="B12" i="2"/>
  <c r="F12" i="2" s="1"/>
  <c r="I12" i="2" s="1"/>
  <c r="R11" i="2"/>
  <c r="Q11" i="2"/>
  <c r="D11" i="2"/>
  <c r="B11" i="2"/>
  <c r="F11" i="2" s="1"/>
  <c r="R10" i="2"/>
  <c r="Q10" i="2"/>
  <c r="D10" i="2"/>
  <c r="B10" i="2"/>
  <c r="F10" i="2" s="1"/>
  <c r="I10" i="2" s="1"/>
  <c r="R9" i="2"/>
  <c r="Q9" i="2"/>
  <c r="D9" i="2"/>
  <c r="B9" i="2"/>
  <c r="F9" i="2" s="1"/>
  <c r="R8" i="2"/>
  <c r="Q8" i="2"/>
  <c r="D8" i="2"/>
  <c r="B8" i="2"/>
  <c r="F8" i="2" s="1"/>
  <c r="I8" i="2" s="1"/>
  <c r="R7" i="2"/>
  <c r="Q7" i="2"/>
  <c r="D7" i="2"/>
  <c r="B7" i="2"/>
  <c r="F7" i="2" s="1"/>
  <c r="R6" i="2"/>
  <c r="Q6" i="2"/>
  <c r="D6" i="2"/>
  <c r="B6" i="2"/>
  <c r="F6" i="2" s="1"/>
  <c r="I6" i="2" s="1"/>
  <c r="R5" i="2"/>
  <c r="Q5" i="2"/>
  <c r="D5" i="2"/>
  <c r="B5" i="2"/>
  <c r="F5" i="2" s="1"/>
  <c r="R4" i="2"/>
  <c r="Q4" i="2"/>
  <c r="D4" i="2"/>
  <c r="B4" i="2"/>
  <c r="F4" i="2" s="1"/>
  <c r="I4" i="2" s="1"/>
  <c r="R3" i="2"/>
  <c r="Q3" i="2"/>
  <c r="D3" i="2"/>
  <c r="B3" i="2"/>
  <c r="F3" i="2" s="1"/>
  <c r="D2" i="2"/>
  <c r="B2" i="2"/>
  <c r="F2" i="2" s="1"/>
  <c r="G31" i="1"/>
  <c r="G29" i="1"/>
  <c r="F21" i="1"/>
  <c r="D22" i="1" s="1"/>
  <c r="D13" i="1"/>
  <c r="B13" i="1"/>
  <c r="F13" i="1" s="1"/>
  <c r="D12" i="1"/>
  <c r="B12" i="1"/>
  <c r="F12" i="1" s="1"/>
  <c r="D11" i="1"/>
  <c r="B11" i="1"/>
  <c r="F11" i="1" s="1"/>
  <c r="I11" i="1" s="1"/>
  <c r="D10" i="1"/>
  <c r="B10" i="1"/>
  <c r="F10" i="1" s="1"/>
  <c r="D9" i="1"/>
  <c r="B9" i="1"/>
  <c r="F9" i="1" s="1"/>
  <c r="D8" i="1"/>
  <c r="B8" i="1"/>
  <c r="F8" i="1" s="1"/>
  <c r="D7" i="1"/>
  <c r="B7" i="1"/>
  <c r="F7" i="1" s="1"/>
  <c r="I7" i="1" s="1"/>
  <c r="D6" i="1"/>
  <c r="B6" i="1"/>
  <c r="F6" i="1" s="1"/>
  <c r="D5" i="1"/>
  <c r="B5" i="1"/>
  <c r="F5" i="1" s="1"/>
  <c r="D4" i="1"/>
  <c r="B4" i="1"/>
  <c r="F4" i="1" s="1"/>
  <c r="D3" i="1"/>
  <c r="B3" i="1"/>
  <c r="F3" i="1" s="1"/>
  <c r="I3" i="1" s="1"/>
  <c r="F2" i="1"/>
  <c r="I2" i="1" s="1"/>
  <c r="D2" i="1"/>
  <c r="B2" i="1"/>
  <c r="Z3" i="2" l="1"/>
  <c r="AA3" i="2" s="1"/>
  <c r="Z7" i="2"/>
  <c r="AA7" i="2" s="1"/>
  <c r="I2" i="2"/>
  <c r="Z5" i="2"/>
  <c r="AA5" i="2" s="1"/>
  <c r="I4" i="1"/>
  <c r="I8" i="1"/>
  <c r="J8" i="1" s="1"/>
  <c r="K8" i="1" s="1"/>
  <c r="L8" i="1" s="1"/>
  <c r="M8" i="1" s="1"/>
  <c r="I12" i="1"/>
  <c r="Y8" i="2"/>
  <c r="Z8" i="2" s="1"/>
  <c r="AA8" i="2" s="1"/>
  <c r="Z12" i="2"/>
  <c r="AA12" i="2" s="1"/>
  <c r="Z4" i="2"/>
  <c r="AA4" i="2" s="1"/>
  <c r="Z14" i="2"/>
  <c r="AA14" i="2" s="1"/>
  <c r="Z6" i="2"/>
  <c r="AA6" i="2" s="1"/>
  <c r="I5" i="1"/>
  <c r="I9" i="1"/>
  <c r="J9" i="1" s="1"/>
  <c r="K9" i="1" s="1"/>
  <c r="L9" i="1" s="1"/>
  <c r="M9" i="1" s="1"/>
  <c r="I3" i="2"/>
  <c r="I5" i="2"/>
  <c r="I7" i="2"/>
  <c r="I9" i="2"/>
  <c r="I11" i="2"/>
  <c r="I13" i="2"/>
  <c r="Z13" i="2"/>
  <c r="AA13" i="2" s="1"/>
  <c r="I6" i="1"/>
  <c r="I10" i="1"/>
  <c r="G13" i="2"/>
  <c r="H13" i="2" s="1"/>
  <c r="G12" i="2"/>
  <c r="H12" i="2" s="1"/>
  <c r="J12" i="2" s="1"/>
  <c r="K12" i="2" s="1"/>
  <c r="L12" i="2" s="1"/>
  <c r="M12" i="2" s="1"/>
  <c r="G11" i="2"/>
  <c r="H11" i="2" s="1"/>
  <c r="G10" i="2"/>
  <c r="H10" i="2" s="1"/>
  <c r="G9" i="2"/>
  <c r="H9" i="2" s="1"/>
  <c r="J9" i="2" s="1"/>
  <c r="K9" i="2" s="1"/>
  <c r="L9" i="2" s="1"/>
  <c r="M9" i="2" s="1"/>
  <c r="G8" i="2"/>
  <c r="H8" i="2" s="1"/>
  <c r="J8" i="2" s="1"/>
  <c r="K8" i="2" s="1"/>
  <c r="L8" i="2" s="1"/>
  <c r="M8" i="2" s="1"/>
  <c r="G7" i="2"/>
  <c r="H7" i="2" s="1"/>
  <c r="J7" i="2" s="1"/>
  <c r="K7" i="2" s="1"/>
  <c r="L7" i="2" s="1"/>
  <c r="M7" i="2" s="1"/>
  <c r="G6" i="2"/>
  <c r="H6" i="2" s="1"/>
  <c r="G5" i="2"/>
  <c r="H5" i="2" s="1"/>
  <c r="J5" i="2" s="1"/>
  <c r="K5" i="2" s="1"/>
  <c r="L5" i="2" s="1"/>
  <c r="M5" i="2" s="1"/>
  <c r="G4" i="2"/>
  <c r="H4" i="2" s="1"/>
  <c r="J4" i="2" s="1"/>
  <c r="K4" i="2" s="1"/>
  <c r="L4" i="2" s="1"/>
  <c r="M4" i="2" s="1"/>
  <c r="G3" i="2"/>
  <c r="H3" i="2" s="1"/>
  <c r="G2" i="2"/>
  <c r="H2" i="2" s="1"/>
  <c r="J2" i="2" s="1"/>
  <c r="K2" i="2" s="1"/>
  <c r="L2" i="2" s="1"/>
  <c r="M2" i="2" s="1"/>
  <c r="J6" i="2"/>
  <c r="K6" i="2" s="1"/>
  <c r="L6" i="2" s="1"/>
  <c r="M6" i="2" s="1"/>
  <c r="J10" i="2"/>
  <c r="K10" i="2" s="1"/>
  <c r="L10" i="2" s="1"/>
  <c r="M10" i="2" s="1"/>
  <c r="G13" i="1"/>
  <c r="H13" i="1" s="1"/>
  <c r="J13" i="1" s="1"/>
  <c r="K13" i="1" s="1"/>
  <c r="L13" i="1" s="1"/>
  <c r="M13" i="1" s="1"/>
  <c r="G12" i="1"/>
  <c r="H12" i="1" s="1"/>
  <c r="G11" i="1"/>
  <c r="H11" i="1" s="1"/>
  <c r="J11" i="1" s="1"/>
  <c r="K11" i="1" s="1"/>
  <c r="L11" i="1" s="1"/>
  <c r="M11" i="1" s="1"/>
  <c r="G10" i="1"/>
  <c r="H10" i="1" s="1"/>
  <c r="G9" i="1"/>
  <c r="H9" i="1" s="1"/>
  <c r="G8" i="1"/>
  <c r="H8" i="1" s="1"/>
  <c r="G7" i="1"/>
  <c r="H7" i="1" s="1"/>
  <c r="J7" i="1" s="1"/>
  <c r="K7" i="1" s="1"/>
  <c r="L7" i="1" s="1"/>
  <c r="M7" i="1" s="1"/>
  <c r="G6" i="1"/>
  <c r="H6" i="1" s="1"/>
  <c r="J6" i="1" s="1"/>
  <c r="K6" i="1" s="1"/>
  <c r="L6" i="1" s="1"/>
  <c r="M6" i="1" s="1"/>
  <c r="G5" i="1"/>
  <c r="H5" i="1" s="1"/>
  <c r="J5" i="1" s="1"/>
  <c r="K5" i="1" s="1"/>
  <c r="L5" i="1" s="1"/>
  <c r="M5" i="1" s="1"/>
  <c r="G4" i="1"/>
  <c r="H4" i="1" s="1"/>
  <c r="G3" i="1"/>
  <c r="H3" i="1" s="1"/>
  <c r="J3" i="1" s="1"/>
  <c r="K3" i="1" s="1"/>
  <c r="L3" i="1" s="1"/>
  <c r="M3" i="1" s="1"/>
  <c r="G2" i="1"/>
  <c r="H2" i="1" s="1"/>
  <c r="J2" i="1" s="1"/>
  <c r="K2" i="1" s="1"/>
  <c r="L2" i="1" s="1"/>
  <c r="M2" i="1" s="1"/>
  <c r="J10" i="1"/>
  <c r="K10" i="1" s="1"/>
  <c r="L10" i="1" s="1"/>
  <c r="M10" i="1" s="1"/>
  <c r="J12" i="1"/>
  <c r="K12" i="1" s="1"/>
  <c r="L12" i="1" s="1"/>
  <c r="M12" i="1" s="1"/>
  <c r="I13" i="1"/>
  <c r="J4" i="1" l="1"/>
  <c r="K4" i="1" s="1"/>
  <c r="L4" i="1" s="1"/>
  <c r="M4" i="1" s="1"/>
  <c r="J3" i="2"/>
  <c r="K3" i="2" s="1"/>
  <c r="L3" i="2" s="1"/>
  <c r="M3" i="2" s="1"/>
  <c r="J11" i="2"/>
  <c r="K11" i="2" s="1"/>
  <c r="L11" i="2" s="1"/>
  <c r="M11" i="2" s="1"/>
  <c r="J13" i="2"/>
  <c r="K13" i="2" s="1"/>
  <c r="L13" i="2" s="1"/>
  <c r="M13" i="2" s="1"/>
</calcChain>
</file>

<file path=xl/sharedStrings.xml><?xml version="1.0" encoding="utf-8"?>
<sst xmlns="http://schemas.openxmlformats.org/spreadsheetml/2006/main" count="64" uniqueCount="41">
  <si>
    <t>T / degrees C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</si>
  <si>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f / ppm</t>
    </r>
  </si>
  <si>
    <r>
      <t>D</t>
    </r>
    <r>
      <rPr>
        <sz val="11"/>
        <color theme="1"/>
        <rFont val="Calibri"/>
        <family val="2"/>
        <scheme val="minor"/>
      </rPr>
      <t>f / Hz</t>
    </r>
  </si>
  <si>
    <t>f / Hz</t>
  </si>
  <si>
    <t>d / g cm-3</t>
  </si>
  <si>
    <t>v / cm3</t>
  </si>
  <si>
    <t>m / g cm-3</t>
  </si>
  <si>
    <r>
      <rPr>
        <sz val="11"/>
        <color theme="1"/>
        <rFont val="Symbol"/>
        <family val="1"/>
        <charset val="2"/>
      </rPr>
      <t>c</t>
    </r>
    <r>
      <rPr>
        <sz val="11"/>
        <color theme="1"/>
        <rFont val="Calibri"/>
        <family val="2"/>
        <scheme val="minor"/>
      </rPr>
      <t>0</t>
    </r>
  </si>
  <si>
    <r>
      <t>c</t>
    </r>
    <r>
      <rPr>
        <sz val="11"/>
        <color theme="1"/>
        <rFont val="Calibri"/>
        <family val="2"/>
        <scheme val="minor"/>
      </rPr>
      <t>g + co</t>
    </r>
  </si>
  <si>
    <r>
      <t>c</t>
    </r>
    <r>
      <rPr>
        <sz val="11"/>
        <color theme="1"/>
        <rFont val="Calibri"/>
        <family val="2"/>
        <scheme val="minor"/>
      </rPr>
      <t>m</t>
    </r>
  </si>
  <si>
    <t>cm corrected</t>
  </si>
  <si>
    <t>xmT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</si>
  <si>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f / ppm 2</t>
    </r>
  </si>
  <si>
    <t>D 1</t>
  </si>
  <si>
    <t>D 2</t>
  </si>
  <si>
    <t>T approx</t>
  </si>
  <si>
    <t>mass complex (g)</t>
  </si>
  <si>
    <t>d (temp exp)</t>
  </si>
  <si>
    <t>volumen (mL)</t>
  </si>
  <si>
    <t>mass solvent</t>
  </si>
  <si>
    <t>pagina mass susc acetonitrile:</t>
  </si>
  <si>
    <t>Temp</t>
  </si>
  <si>
    <t>Xo</t>
  </si>
  <si>
    <t>http://www.chimichi.it/facilities/nmr/acetnitr.html</t>
  </si>
  <si>
    <t>Diamagnetic complex corrections</t>
  </si>
  <si>
    <t>T/ K</t>
  </si>
  <si>
    <t>T/K</t>
  </si>
  <si>
    <t>1/T</t>
  </si>
  <si>
    <t>%HS</t>
  </si>
  <si>
    <t>%LS</t>
  </si>
  <si>
    <t>cmT</t>
  </si>
  <si>
    <t>Keq</t>
  </si>
  <si>
    <t>lnKeq</t>
  </si>
  <si>
    <t>slope</t>
  </si>
  <si>
    <t>intercept</t>
  </si>
  <si>
    <t>J/molK</t>
  </si>
  <si>
    <t>R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</si>
  <si>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 =</t>
    </r>
  </si>
  <si>
    <t>DS =</t>
  </si>
  <si>
    <t>kJ/molK</t>
  </si>
  <si>
    <t>J/K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</si>
</sst>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28575">
              <a:noFill/>
            </a:ln>
          </c:spPr>
          <c:xVal>
            <c:numRef>
              <c:f>MeCN!$A$2:$A$13</c:f>
              <c:numCache>
                <c:formatCode>General</c:formatCode>
                <c:ptCount val="12"/>
                <c:pt idx="0">
                  <c:v>236.7</c:v>
                </c:pt>
                <c:pt idx="1">
                  <c:v>243.8</c:v>
                </c:pt>
                <c:pt idx="2">
                  <c:v>253.8</c:v>
                </c:pt>
                <c:pt idx="3">
                  <c:v>263.89999999999998</c:v>
                </c:pt>
                <c:pt idx="4">
                  <c:v>272</c:v>
                </c:pt>
                <c:pt idx="5">
                  <c:v>282.10000000000002</c:v>
                </c:pt>
                <c:pt idx="6">
                  <c:v>292.2</c:v>
                </c:pt>
                <c:pt idx="7">
                  <c:v>302.3</c:v>
                </c:pt>
                <c:pt idx="8">
                  <c:v>312.39999999999998</c:v>
                </c:pt>
                <c:pt idx="9">
                  <c:v>322.5</c:v>
                </c:pt>
                <c:pt idx="10">
                  <c:v>332.6</c:v>
                </c:pt>
                <c:pt idx="11">
                  <c:v>342.7</c:v>
                </c:pt>
              </c:numCache>
            </c:numRef>
          </c:xVal>
          <c:yVal>
            <c:numRef>
              <c:f>MeCN!$M$2:$M$13</c:f>
              <c:numCache>
                <c:formatCode>General</c:formatCode>
                <c:ptCount val="12"/>
                <c:pt idx="0">
                  <c:v>1.3066817089497567</c:v>
                </c:pt>
                <c:pt idx="1">
                  <c:v>1.4076339815725263</c:v>
                </c:pt>
                <c:pt idx="2">
                  <c:v>1.8563024659572827</c:v>
                </c:pt>
                <c:pt idx="3">
                  <c:v>2.1788450572241524</c:v>
                </c:pt>
                <c:pt idx="4">
                  <c:v>2.3854424320977214</c:v>
                </c:pt>
                <c:pt idx="5">
                  <c:v>2.5671373397671284</c:v>
                </c:pt>
                <c:pt idx="6">
                  <c:v>2.822740121047171</c:v>
                </c:pt>
                <c:pt idx="7">
                  <c:v>2.8910122949415786</c:v>
                </c:pt>
                <c:pt idx="8">
                  <c:v>3.0274957155298972</c:v>
                </c:pt>
                <c:pt idx="9">
                  <c:v>3.1677263432784288</c:v>
                </c:pt>
                <c:pt idx="10">
                  <c:v>3.2340840553445163</c:v>
                </c:pt>
                <c:pt idx="11">
                  <c:v>3.2974590901326803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38-40A4-9127-4ACB4224B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131456"/>
        <c:axId val="108132992"/>
      </c:scatterChart>
      <c:valAx>
        <c:axId val="10813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132992"/>
        <c:crosses val="autoZero"/>
        <c:crossBetween val="midCat"/>
      </c:valAx>
      <c:valAx>
        <c:axId val="1081329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8131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26498752370899709"/>
                  <c:y val="-0.38881846618487759"/>
                </c:manualLayout>
              </c:layout>
              <c:numFmt formatCode="General" sourceLinked="0"/>
            </c:trendlineLbl>
          </c:trendline>
          <c:xVal>
            <c:numRef>
              <c:f>MeCN!$V$3:$V$14</c:f>
              <c:numCache>
                <c:formatCode>General</c:formatCode>
                <c:ptCount val="12"/>
                <c:pt idx="0">
                  <c:v>4.2247570764681035E-3</c:v>
                </c:pt>
                <c:pt idx="1">
                  <c:v>4.1017227235438884E-3</c:v>
                </c:pt>
                <c:pt idx="2">
                  <c:v>3.9401103230890461E-3</c:v>
                </c:pt>
                <c:pt idx="3">
                  <c:v>3.7893141341417205E-3</c:v>
                </c:pt>
                <c:pt idx="4">
                  <c:v>3.6764705882352941E-3</c:v>
                </c:pt>
                <c:pt idx="5">
                  <c:v>3.5448422545196734E-3</c:v>
                </c:pt>
                <c:pt idx="6">
                  <c:v>3.4223134839151269E-3</c:v>
                </c:pt>
                <c:pt idx="7">
                  <c:v>3.3079722130334105E-3</c:v>
                </c:pt>
                <c:pt idx="8">
                  <c:v>3.2010243277848915E-3</c:v>
                </c:pt>
                <c:pt idx="9">
                  <c:v>3.1007751937984496E-3</c:v>
                </c:pt>
                <c:pt idx="10">
                  <c:v>3.0066145520144315E-3</c:v>
                </c:pt>
                <c:pt idx="11">
                  <c:v>2.9180040852057193E-3</c:v>
                </c:pt>
              </c:numCache>
            </c:numRef>
          </c:xVal>
          <c:yVal>
            <c:numRef>
              <c:f>MeCN!$AA$3:$AA$14</c:f>
              <c:numCache>
                <c:formatCode>General</c:formatCode>
                <c:ptCount val="12"/>
                <c:pt idx="0">
                  <c:v>-0.51792472144247526</c:v>
                </c:pt>
                <c:pt idx="1">
                  <c:v>-0.39638522423433092</c:v>
                </c:pt>
                <c:pt idx="2">
                  <c:v>0.1216382896767782</c:v>
                </c:pt>
                <c:pt idx="3">
                  <c:v>0.50028863545319069</c:v>
                </c:pt>
                <c:pt idx="4">
                  <c:v>0.76092708717835633</c:v>
                </c:pt>
                <c:pt idx="5">
                  <c:v>1.0122886938025524</c:v>
                </c:pt>
                <c:pt idx="6">
                  <c:v>1.4274082985710199</c:v>
                </c:pt>
                <c:pt idx="7">
                  <c:v>1.5575639160729013</c:v>
                </c:pt>
                <c:pt idx="8">
                  <c:v>1.8574442456877864</c:v>
                </c:pt>
                <c:pt idx="9">
                  <c:v>2.2548104710338572</c:v>
                </c:pt>
                <c:pt idx="10">
                  <c:v>2.4983207696304133</c:v>
                </c:pt>
                <c:pt idx="11">
                  <c:v>2.7899655880076528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17-49B4-B27D-76A20EC83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284928"/>
        <c:axId val="108299008"/>
      </c:scatterChart>
      <c:valAx>
        <c:axId val="10828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299008"/>
        <c:crosses val="autoZero"/>
        <c:crossBetween val="midCat"/>
      </c:valAx>
      <c:valAx>
        <c:axId val="1082990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82849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28575">
              <a:noFill/>
            </a:ln>
          </c:spPr>
          <c:xVal>
            <c:numRef>
              <c:f>TMS!$A$2:$A$13</c:f>
              <c:numCache>
                <c:formatCode>General</c:formatCode>
                <c:ptCount val="12"/>
                <c:pt idx="0">
                  <c:v>236.7</c:v>
                </c:pt>
                <c:pt idx="1">
                  <c:v>243.8</c:v>
                </c:pt>
                <c:pt idx="2">
                  <c:v>253.8</c:v>
                </c:pt>
                <c:pt idx="3">
                  <c:v>263.89999999999998</c:v>
                </c:pt>
                <c:pt idx="4">
                  <c:v>272</c:v>
                </c:pt>
                <c:pt idx="5">
                  <c:v>282.10000000000002</c:v>
                </c:pt>
                <c:pt idx="6">
                  <c:v>292.2</c:v>
                </c:pt>
                <c:pt idx="7">
                  <c:v>302.3</c:v>
                </c:pt>
                <c:pt idx="8">
                  <c:v>312.39999999999998</c:v>
                </c:pt>
                <c:pt idx="9">
                  <c:v>322.5</c:v>
                </c:pt>
                <c:pt idx="10">
                  <c:v>332.6</c:v>
                </c:pt>
                <c:pt idx="11">
                  <c:v>342.7</c:v>
                </c:pt>
              </c:numCache>
            </c:numRef>
          </c:xVal>
          <c:yVal>
            <c:numRef>
              <c:f>TMS!$M$2:$M$13</c:f>
              <c:numCache>
                <c:formatCode>General</c:formatCode>
                <c:ptCount val="12"/>
                <c:pt idx="0">
                  <c:v>1.3066817089497567</c:v>
                </c:pt>
                <c:pt idx="1">
                  <c:v>1.4582493996141166</c:v>
                </c:pt>
                <c:pt idx="2">
                  <c:v>1.8029363899655495</c:v>
                </c:pt>
                <c:pt idx="3">
                  <c:v>2.1226283927992347</c:v>
                </c:pt>
                <c:pt idx="4">
                  <c:v>2.3268851161018591</c:v>
                </c:pt>
                <c:pt idx="5">
                  <c:v>2.5671373397671284</c:v>
                </c:pt>
                <c:pt idx="6">
                  <c:v>2.758123212831769</c:v>
                </c:pt>
                <c:pt idx="7">
                  <c:v>2.8910122949415786</c:v>
                </c:pt>
                <c:pt idx="8">
                  <c:v>3.0274957155298972</c:v>
                </c:pt>
                <c:pt idx="9">
                  <c:v>3.0190251655443068</c:v>
                </c:pt>
                <c:pt idx="10">
                  <c:v>3.1563022704010719</c:v>
                </c:pt>
                <c:pt idx="11">
                  <c:v>3.1348328766852682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AF-48E5-B45F-4A590FA08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889600"/>
        <c:axId val="108891136"/>
      </c:scatterChart>
      <c:valAx>
        <c:axId val="10888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8891136"/>
        <c:crosses val="autoZero"/>
        <c:crossBetween val="midCat"/>
      </c:valAx>
      <c:valAx>
        <c:axId val="108891136"/>
        <c:scaling>
          <c:orientation val="minMax"/>
          <c:max val="3.75"/>
        </c:scaling>
        <c:delete val="0"/>
        <c:axPos val="l"/>
        <c:numFmt formatCode="General" sourceLinked="1"/>
        <c:majorTickMark val="out"/>
        <c:minorTickMark val="none"/>
        <c:tickLblPos val="nextTo"/>
        <c:crossAx val="108889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76202</xdr:colOff>
      <xdr:row>18</xdr:row>
      <xdr:rowOff>57150</xdr:rowOff>
    </xdr:from>
    <xdr:to>
      <xdr:col>13</xdr:col>
      <xdr:colOff>161926</xdr:colOff>
      <xdr:row>31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76200</xdr:colOff>
      <xdr:row>16</xdr:row>
      <xdr:rowOff>0</xdr:rowOff>
    </xdr:from>
    <xdr:to>
      <xdr:col>24</xdr:col>
      <xdr:colOff>285750</xdr:colOff>
      <xdr:row>34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76201</xdr:colOff>
      <xdr:row>15</xdr:row>
      <xdr:rowOff>28575</xdr:rowOff>
    </xdr:from>
    <xdr:to>
      <xdr:col>16</xdr:col>
      <xdr:colOff>342900</xdr:colOff>
      <xdr:row>33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1"/>
  <sheetViews>
    <sheetView tabSelected="1" topLeftCell="E13" workbookViewId="0">
      <selection activeCell="M2" sqref="M2:M13"/>
    </sheetView>
  </sheetViews>
  <sheetFormatPr defaultRowHeight="15" x14ac:dyDescent="0.25"/>
  <cols>
    <col min="1" max="1" width="21.42578125" customWidth="1"/>
    <col min="2" max="2" width="13.140625" customWidth="1"/>
    <col min="3" max="3" width="11.7109375" customWidth="1"/>
    <col min="4" max="4" width="17.85546875" customWidth="1"/>
    <col min="5" max="5" width="15.85546875" customWidth="1"/>
    <col min="6" max="6" width="20.85546875" customWidth="1"/>
    <col min="7" max="7" width="18.85546875" customWidth="1"/>
    <col min="8" max="8" width="17.28515625" customWidth="1"/>
    <col min="9" max="9" width="16.5703125" customWidth="1"/>
    <col min="10" max="10" width="18.7109375" customWidth="1"/>
    <col min="11" max="11" width="15.42578125" customWidth="1"/>
    <col min="12" max="12" width="13.28515625" customWidth="1"/>
    <col min="13" max="13" width="18.5703125" customWidth="1"/>
    <col min="16" max="16" width="16.42578125" customWidth="1"/>
  </cols>
  <sheetData>
    <row r="1" spans="1:27" x14ac:dyDescent="0.25">
      <c r="A1" t="s">
        <v>25</v>
      </c>
      <c r="B1" t="s">
        <v>0</v>
      </c>
      <c r="C1" t="s">
        <v>1</v>
      </c>
      <c r="D1" s="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s="1" t="s">
        <v>8</v>
      </c>
      <c r="K1" s="1" t="s">
        <v>9</v>
      </c>
      <c r="L1" s="2" t="s">
        <v>10</v>
      </c>
      <c r="M1" t="s">
        <v>11</v>
      </c>
      <c r="U1" t="s">
        <v>26</v>
      </c>
      <c r="V1" t="s">
        <v>27</v>
      </c>
      <c r="W1" t="s">
        <v>30</v>
      </c>
      <c r="X1" t="s">
        <v>28</v>
      </c>
      <c r="Y1" t="s">
        <v>29</v>
      </c>
      <c r="Z1" t="s">
        <v>31</v>
      </c>
      <c r="AA1" t="s">
        <v>32</v>
      </c>
    </row>
    <row r="2" spans="1:27" x14ac:dyDescent="0.25">
      <c r="A2">
        <v>236.7</v>
      </c>
      <c r="B2">
        <f>A2-273.15</f>
        <v>-36.449999999999989</v>
      </c>
      <c r="C2">
        <v>0.27</v>
      </c>
      <c r="D2">
        <f>500.5700125*C2</f>
        <v>135.15390337500003</v>
      </c>
      <c r="E2">
        <v>500570012.5</v>
      </c>
      <c r="F2">
        <f>0.80307-0.0010542*B2</f>
        <v>0.84149558999999996</v>
      </c>
      <c r="G2">
        <f>$D$22/F2</f>
        <v>0.46338781169370119</v>
      </c>
      <c r="H2">
        <f>$E$21/G2</f>
        <v>8.6320785723298116E-3</v>
      </c>
      <c r="I2">
        <f>$G$29*(1/F2)</f>
        <v>-6.2270082722596332E-7</v>
      </c>
      <c r="J2">
        <f>((3*D2)/(4*PI()*E2*H2))+I2</f>
        <v>6.8445333287324176E-6</v>
      </c>
      <c r="K2">
        <f>J2*744</f>
        <v>5.0923327965769188E-3</v>
      </c>
      <c r="L2">
        <f>K2-$G$31</f>
        <v>5.5204127965769187E-3</v>
      </c>
      <c r="M2">
        <f>L2*A2</f>
        <v>1.3066817089497567</v>
      </c>
      <c r="P2" t="s">
        <v>12</v>
      </c>
      <c r="Q2" s="1" t="s">
        <v>13</v>
      </c>
      <c r="R2" s="1" t="s">
        <v>14</v>
      </c>
    </row>
    <row r="3" spans="1:27" x14ac:dyDescent="0.25">
      <c r="A3">
        <v>243.8</v>
      </c>
      <c r="B3">
        <f t="shared" ref="B3:B13" si="0">A3-273.15</f>
        <v>-29.349999999999966</v>
      </c>
      <c r="C3">
        <v>0.28000000000000003</v>
      </c>
      <c r="D3">
        <f t="shared" ref="D3:D13" si="1">500.5700125*C3</f>
        <v>140.15960350000003</v>
      </c>
      <c r="E3">
        <v>500570012.5</v>
      </c>
      <c r="F3">
        <f t="shared" ref="F3:F13" si="2">0.80307-0.0010542*B3</f>
        <v>0.8340107699999999</v>
      </c>
      <c r="G3">
        <f t="shared" ref="G3:G13" si="3">$D$22/F3</f>
        <v>0.46754648024509327</v>
      </c>
      <c r="H3">
        <f t="shared" ref="H3:H13" si="4">$E$21/G3</f>
        <v>8.555299139249543E-3</v>
      </c>
      <c r="I3">
        <f t="shared" ref="I3:I13" si="5">$G$29*(1/F3)</f>
        <v>-6.2828924859087859E-7</v>
      </c>
      <c r="J3">
        <f t="shared" ref="J3:J13" si="6">((3*D3)/(4*PI()*E3*H3))+I3</f>
        <v>7.1850057643126212E-6</v>
      </c>
      <c r="K3">
        <f t="shared" ref="K3:K13" si="7">J3*744</f>
        <v>5.3456442886485904E-3</v>
      </c>
      <c r="L3">
        <f t="shared" ref="L3:L13" si="8">K3-$G$31</f>
        <v>5.7737242886485903E-3</v>
      </c>
      <c r="M3">
        <f t="shared" ref="M3:M13" si="9">L3*A3</f>
        <v>1.4076339815725263</v>
      </c>
      <c r="P3">
        <v>0.27</v>
      </c>
      <c r="Q3">
        <f>C3-C2</f>
        <v>1.0000000000000009E-2</v>
      </c>
      <c r="R3">
        <f>P3-P4</f>
        <v>-1.9999999999999962E-2</v>
      </c>
      <c r="U3">
        <v>236.7</v>
      </c>
      <c r="V3">
        <f>1/U3</f>
        <v>4.2247570764681035E-3</v>
      </c>
      <c r="W3">
        <v>1.3066817089497567</v>
      </c>
      <c r="X3">
        <f>W3/3.5</f>
        <v>0.37333763112850188</v>
      </c>
      <c r="Y3">
        <f>1-X3</f>
        <v>0.62666236887149807</v>
      </c>
      <c r="Z3">
        <f>X3/Y3</f>
        <v>0.59575562483640632</v>
      </c>
      <c r="AA3">
        <f>LN(Z3)</f>
        <v>-0.51792472144247526</v>
      </c>
    </row>
    <row r="4" spans="1:27" x14ac:dyDescent="0.25">
      <c r="A4">
        <v>253.8</v>
      </c>
      <c r="B4">
        <f t="shared" si="0"/>
        <v>-19.349999999999966</v>
      </c>
      <c r="C4">
        <v>0.35</v>
      </c>
      <c r="D4">
        <f t="shared" si="1"/>
        <v>175.199504375</v>
      </c>
      <c r="E4">
        <v>500570012.5</v>
      </c>
      <c r="F4">
        <f t="shared" si="2"/>
        <v>0.82346876999999996</v>
      </c>
      <c r="G4">
        <f t="shared" si="3"/>
        <v>0.47353198348979281</v>
      </c>
      <c r="H4">
        <f t="shared" si="4"/>
        <v>8.4471590926576169E-3</v>
      </c>
      <c r="I4">
        <f t="shared" si="5"/>
        <v>-6.3633257154366645E-7</v>
      </c>
      <c r="J4">
        <f t="shared" si="6"/>
        <v>9.2553178882983096E-6</v>
      </c>
      <c r="K4">
        <f t="shared" si="7"/>
        <v>6.8859565088939421E-3</v>
      </c>
      <c r="L4">
        <f t="shared" si="8"/>
        <v>7.3140365088939421E-3</v>
      </c>
      <c r="M4">
        <f t="shared" si="9"/>
        <v>1.8563024659572827</v>
      </c>
      <c r="P4">
        <v>0.28999999999999998</v>
      </c>
      <c r="Q4">
        <f t="shared" ref="Q4:Q13" si="10">C4-C3</f>
        <v>6.9999999999999951E-2</v>
      </c>
      <c r="R4">
        <f t="shared" ref="R4:R13" si="11">P4-P5</f>
        <v>-5.0000000000000044E-2</v>
      </c>
      <c r="U4">
        <v>243.8</v>
      </c>
      <c r="V4">
        <f t="shared" ref="V4:V14" si="12">1/U4</f>
        <v>4.1017227235438884E-3</v>
      </c>
      <c r="W4">
        <v>1.4076339815725263</v>
      </c>
      <c r="X4">
        <f t="shared" ref="X4:X14" si="13">W4/3.5</f>
        <v>0.40218113759215035</v>
      </c>
      <c r="Y4">
        <f t="shared" ref="Y4:Y14" si="14">1-X4</f>
        <v>0.59781886240784965</v>
      </c>
      <c r="Z4">
        <f t="shared" ref="Z4:Z14" si="15">X4/Y4</f>
        <v>0.67274748737815926</v>
      </c>
      <c r="AA4">
        <f t="shared" ref="AA4:AA14" si="16">LN(Z4)</f>
        <v>-0.39638522423433092</v>
      </c>
    </row>
    <row r="5" spans="1:27" x14ac:dyDescent="0.25">
      <c r="A5">
        <v>263.89999999999998</v>
      </c>
      <c r="B5">
        <f t="shared" si="0"/>
        <v>-9.25</v>
      </c>
      <c r="C5">
        <v>0.39</v>
      </c>
      <c r="D5">
        <f t="shared" si="1"/>
        <v>195.22230487500002</v>
      </c>
      <c r="E5">
        <v>500570012.5</v>
      </c>
      <c r="F5">
        <f t="shared" si="2"/>
        <v>0.81282135</v>
      </c>
      <c r="G5">
        <f t="shared" si="3"/>
        <v>0.4797349380648035</v>
      </c>
      <c r="H5">
        <f t="shared" si="4"/>
        <v>8.3379376455997717E-3</v>
      </c>
      <c r="I5">
        <f t="shared" si="5"/>
        <v>-6.4466810572827593E-7</v>
      </c>
      <c r="J5">
        <f t="shared" si="6"/>
        <v>1.052183920893052E-5</v>
      </c>
      <c r="K5">
        <f t="shared" si="7"/>
        <v>7.8282483714443071E-3</v>
      </c>
      <c r="L5">
        <f t="shared" si="8"/>
        <v>8.2563283714443079E-3</v>
      </c>
      <c r="M5">
        <f t="shared" si="9"/>
        <v>2.1788450572241524</v>
      </c>
      <c r="P5">
        <v>0.34</v>
      </c>
      <c r="Q5">
        <f t="shared" si="10"/>
        <v>4.0000000000000036E-2</v>
      </c>
      <c r="R5">
        <f t="shared" si="11"/>
        <v>-3.999999999999998E-2</v>
      </c>
      <c r="U5">
        <v>253.8</v>
      </c>
      <c r="V5">
        <f t="shared" si="12"/>
        <v>3.9401103230890461E-3</v>
      </c>
      <c r="W5">
        <v>1.8563024659572827</v>
      </c>
      <c r="X5">
        <f t="shared" si="13"/>
        <v>0.53037213313065223</v>
      </c>
      <c r="Y5">
        <f t="shared" si="14"/>
        <v>0.46962786686934777</v>
      </c>
      <c r="Z5">
        <f t="shared" si="15"/>
        <v>1.1293455319554189</v>
      </c>
      <c r="AA5">
        <f t="shared" si="16"/>
        <v>0.1216382896767782</v>
      </c>
    </row>
    <row r="6" spans="1:27" x14ac:dyDescent="0.25">
      <c r="A6">
        <v>272</v>
      </c>
      <c r="B6">
        <f t="shared" si="0"/>
        <v>-1.1499999999999773</v>
      </c>
      <c r="C6">
        <v>0.41</v>
      </c>
      <c r="D6">
        <f t="shared" si="1"/>
        <v>205.233705125</v>
      </c>
      <c r="E6">
        <v>500570012.5</v>
      </c>
      <c r="F6">
        <f t="shared" si="2"/>
        <v>0.80428232999999993</v>
      </c>
      <c r="G6">
        <f t="shared" si="3"/>
        <v>0.4848282567640147</v>
      </c>
      <c r="H6">
        <f t="shared" si="4"/>
        <v>8.2503442078603103E-3</v>
      </c>
      <c r="I6">
        <f t="shared" si="5"/>
        <v>-6.5151251053843247E-7</v>
      </c>
      <c r="J6">
        <f t="shared" si="6"/>
        <v>1.1212270082709329E-5</v>
      </c>
      <c r="K6">
        <f t="shared" si="7"/>
        <v>8.3419289415357402E-3</v>
      </c>
      <c r="L6">
        <f t="shared" si="8"/>
        <v>8.770008941535741E-3</v>
      </c>
      <c r="M6">
        <f t="shared" si="9"/>
        <v>2.3854424320977214</v>
      </c>
      <c r="P6">
        <v>0.38</v>
      </c>
      <c r="Q6">
        <f t="shared" si="10"/>
        <v>1.9999999999999962E-2</v>
      </c>
      <c r="R6">
        <f t="shared" si="11"/>
        <v>-2.0000000000000018E-2</v>
      </c>
      <c r="U6">
        <v>263.89999999999998</v>
      </c>
      <c r="V6">
        <f t="shared" si="12"/>
        <v>3.7893141341417205E-3</v>
      </c>
      <c r="W6">
        <v>2.1788450572241524</v>
      </c>
      <c r="X6">
        <f t="shared" si="13"/>
        <v>0.62252715920690072</v>
      </c>
      <c r="Y6">
        <f t="shared" si="14"/>
        <v>0.37747284079309928</v>
      </c>
      <c r="Z6">
        <f t="shared" si="15"/>
        <v>1.6491972187957247</v>
      </c>
      <c r="AA6">
        <f t="shared" si="16"/>
        <v>0.50028863545319069</v>
      </c>
    </row>
    <row r="7" spans="1:27" x14ac:dyDescent="0.25">
      <c r="A7">
        <v>282.10000000000002</v>
      </c>
      <c r="B7">
        <f t="shared" si="0"/>
        <v>8.9500000000000455</v>
      </c>
      <c r="C7">
        <v>0.42</v>
      </c>
      <c r="D7">
        <f t="shared" si="1"/>
        <v>210.23940525</v>
      </c>
      <c r="E7">
        <v>500570012.5</v>
      </c>
      <c r="F7">
        <f t="shared" si="2"/>
        <v>0.79363490999999986</v>
      </c>
      <c r="G7">
        <f t="shared" si="3"/>
        <v>0.49133272123828331</v>
      </c>
      <c r="H7">
        <f t="shared" si="4"/>
        <v>8.1411227608024633E-3</v>
      </c>
      <c r="I7">
        <f t="shared" si="5"/>
        <v>-6.6025321391167136E-7</v>
      </c>
      <c r="J7">
        <f t="shared" si="6"/>
        <v>1.1655936713927076E-5</v>
      </c>
      <c r="K7">
        <f t="shared" si="7"/>
        <v>8.6720169151617444E-3</v>
      </c>
      <c r="L7">
        <f t="shared" si="8"/>
        <v>9.1000969151617452E-3</v>
      </c>
      <c r="M7">
        <f t="shared" si="9"/>
        <v>2.5671373397671284</v>
      </c>
      <c r="P7">
        <v>0.4</v>
      </c>
      <c r="Q7">
        <f t="shared" si="10"/>
        <v>1.0000000000000009E-2</v>
      </c>
      <c r="R7">
        <f t="shared" si="11"/>
        <v>-1.9999999999999962E-2</v>
      </c>
      <c r="U7">
        <v>272</v>
      </c>
      <c r="V7">
        <f t="shared" si="12"/>
        <v>3.6764705882352941E-3</v>
      </c>
      <c r="W7">
        <v>2.3854424320977214</v>
      </c>
      <c r="X7">
        <f t="shared" si="13"/>
        <v>0.68155498059934894</v>
      </c>
      <c r="Y7">
        <f t="shared" si="14"/>
        <v>0.31844501940065106</v>
      </c>
      <c r="Z7">
        <f t="shared" si="15"/>
        <v>2.140259508162857</v>
      </c>
      <c r="AA7">
        <f t="shared" si="16"/>
        <v>0.76092708717835633</v>
      </c>
    </row>
    <row r="8" spans="1:27" x14ac:dyDescent="0.25">
      <c r="A8">
        <v>292.2</v>
      </c>
      <c r="B8">
        <f t="shared" si="0"/>
        <v>19.050000000000011</v>
      </c>
      <c r="C8">
        <v>0.44</v>
      </c>
      <c r="D8">
        <f t="shared" si="1"/>
        <v>220.25080550000001</v>
      </c>
      <c r="E8">
        <v>500570012.5</v>
      </c>
      <c r="F8">
        <f t="shared" si="2"/>
        <v>0.7829874899999999</v>
      </c>
      <c r="G8">
        <f t="shared" si="3"/>
        <v>0.49801408704499228</v>
      </c>
      <c r="H8">
        <f t="shared" si="4"/>
        <v>8.0319013137446181E-3</v>
      </c>
      <c r="I8">
        <f t="shared" si="5"/>
        <v>-6.6923163740457721E-7</v>
      </c>
      <c r="J8">
        <f t="shared" si="6"/>
        <v>1.2408899970225737E-5</v>
      </c>
      <c r="K8">
        <f t="shared" si="7"/>
        <v>9.2322215778479488E-3</v>
      </c>
      <c r="L8">
        <f t="shared" si="8"/>
        <v>9.6603015778479497E-3</v>
      </c>
      <c r="M8">
        <f t="shared" si="9"/>
        <v>2.822740121047171</v>
      </c>
      <c r="P8">
        <v>0.42</v>
      </c>
      <c r="Q8">
        <f t="shared" si="10"/>
        <v>2.0000000000000018E-2</v>
      </c>
      <c r="R8">
        <f t="shared" si="11"/>
        <v>-1.0000000000000009E-2</v>
      </c>
      <c r="U8">
        <v>282.10000000000002</v>
      </c>
      <c r="V8">
        <f t="shared" si="12"/>
        <v>3.5448422545196734E-3</v>
      </c>
      <c r="W8">
        <v>2.5671373397671284</v>
      </c>
      <c r="X8">
        <f t="shared" si="13"/>
        <v>0.73346781136203665</v>
      </c>
      <c r="Y8">
        <f t="shared" si="14"/>
        <v>0.26653218863796335</v>
      </c>
      <c r="Z8">
        <f t="shared" si="15"/>
        <v>2.751892051426188</v>
      </c>
      <c r="AA8">
        <f t="shared" si="16"/>
        <v>1.0122886938025524</v>
      </c>
    </row>
    <row r="9" spans="1:27" x14ac:dyDescent="0.25">
      <c r="A9">
        <v>302.3</v>
      </c>
      <c r="B9">
        <f t="shared" si="0"/>
        <v>29.150000000000034</v>
      </c>
      <c r="C9">
        <v>0.43</v>
      </c>
      <c r="D9">
        <f t="shared" si="1"/>
        <v>215.24510537500001</v>
      </c>
      <c r="E9">
        <v>500570012.5</v>
      </c>
      <c r="F9">
        <f t="shared" si="2"/>
        <v>0.77234006999999993</v>
      </c>
      <c r="G9">
        <f t="shared" si="3"/>
        <v>0.50487967042807969</v>
      </c>
      <c r="H9">
        <f t="shared" si="4"/>
        <v>7.9226798666867729E-3</v>
      </c>
      <c r="I9">
        <f t="shared" si="5"/>
        <v>-6.7845761259026742E-7</v>
      </c>
      <c r="J9">
        <f t="shared" si="6"/>
        <v>1.2278640240866521E-5</v>
      </c>
      <c r="K9">
        <f t="shared" si="7"/>
        <v>9.1353083392046921E-3</v>
      </c>
      <c r="L9">
        <f t="shared" si="8"/>
        <v>9.5633883392046929E-3</v>
      </c>
      <c r="M9">
        <f t="shared" si="9"/>
        <v>2.8910122949415786</v>
      </c>
      <c r="P9">
        <v>0.43</v>
      </c>
      <c r="Q9">
        <f t="shared" si="10"/>
        <v>-1.0000000000000009E-2</v>
      </c>
      <c r="R9">
        <f t="shared" si="11"/>
        <v>0</v>
      </c>
      <c r="U9">
        <v>292.2</v>
      </c>
      <c r="V9">
        <f t="shared" si="12"/>
        <v>3.4223134839151269E-3</v>
      </c>
      <c r="W9">
        <v>2.822740121047171</v>
      </c>
      <c r="X9">
        <f t="shared" si="13"/>
        <v>0.80649717744204885</v>
      </c>
      <c r="Y9">
        <f t="shared" si="14"/>
        <v>0.19350282255795115</v>
      </c>
      <c r="Z9">
        <f t="shared" si="15"/>
        <v>4.1678832731264954</v>
      </c>
      <c r="AA9">
        <f t="shared" si="16"/>
        <v>1.4274082985710199</v>
      </c>
    </row>
    <row r="10" spans="1:27" x14ac:dyDescent="0.25">
      <c r="A10">
        <v>312.39999999999998</v>
      </c>
      <c r="B10">
        <f t="shared" si="0"/>
        <v>39.25</v>
      </c>
      <c r="C10">
        <v>0.43</v>
      </c>
      <c r="D10">
        <f t="shared" si="1"/>
        <v>215.24510537500001</v>
      </c>
      <c r="E10">
        <v>500570012.5</v>
      </c>
      <c r="F10">
        <f t="shared" si="2"/>
        <v>0.76169264999999997</v>
      </c>
      <c r="G10">
        <f t="shared" si="3"/>
        <v>0.51193719671576188</v>
      </c>
      <c r="H10">
        <f t="shared" si="4"/>
        <v>7.8134584196289276E-3</v>
      </c>
      <c r="I10">
        <f t="shared" si="5"/>
        <v>-6.8794152076956497E-7</v>
      </c>
      <c r="J10">
        <f t="shared" si="6"/>
        <v>1.2450278814080279E-5</v>
      </c>
      <c r="K10">
        <f t="shared" si="7"/>
        <v>9.2630074376757274E-3</v>
      </c>
      <c r="L10">
        <f t="shared" si="8"/>
        <v>9.6910874376757283E-3</v>
      </c>
      <c r="M10">
        <f t="shared" si="9"/>
        <v>3.0274957155298972</v>
      </c>
      <c r="P10">
        <v>0.43</v>
      </c>
      <c r="Q10">
        <f t="shared" si="10"/>
        <v>0</v>
      </c>
      <c r="R10">
        <f t="shared" si="11"/>
        <v>0</v>
      </c>
      <c r="U10">
        <v>302.3</v>
      </c>
      <c r="V10">
        <f t="shared" si="12"/>
        <v>3.3079722130334105E-3</v>
      </c>
      <c r="W10">
        <v>2.8910122949415786</v>
      </c>
      <c r="X10">
        <f t="shared" si="13"/>
        <v>0.82600351284045104</v>
      </c>
      <c r="Y10">
        <f t="shared" si="14"/>
        <v>0.17399648715954896</v>
      </c>
      <c r="Z10">
        <f t="shared" si="15"/>
        <v>4.7472424663552744</v>
      </c>
      <c r="AA10">
        <f t="shared" si="16"/>
        <v>1.5575639160729013</v>
      </c>
    </row>
    <row r="11" spans="1:27" x14ac:dyDescent="0.25">
      <c r="A11">
        <v>322.5</v>
      </c>
      <c r="B11">
        <f t="shared" si="0"/>
        <v>49.350000000000023</v>
      </c>
      <c r="C11">
        <v>0.43</v>
      </c>
      <c r="D11">
        <f t="shared" si="1"/>
        <v>215.24510537500001</v>
      </c>
      <c r="E11">
        <v>500570012.5</v>
      </c>
      <c r="F11">
        <f t="shared" si="2"/>
        <v>0.7510452299999999</v>
      </c>
      <c r="G11">
        <f t="shared" si="3"/>
        <v>0.51919482931806915</v>
      </c>
      <c r="H11">
        <f t="shared" si="4"/>
        <v>7.7042369725710807E-3</v>
      </c>
      <c r="I11">
        <f t="shared" si="5"/>
        <v>-6.9769433193790485E-7</v>
      </c>
      <c r="J11">
        <f t="shared" si="6"/>
        <v>1.2626783959650031E-5</v>
      </c>
      <c r="K11">
        <f t="shared" si="7"/>
        <v>9.3943272659796229E-3</v>
      </c>
      <c r="L11">
        <f t="shared" si="8"/>
        <v>9.8224072659796238E-3</v>
      </c>
      <c r="M11">
        <f t="shared" si="9"/>
        <v>3.1677263432784288</v>
      </c>
      <c r="P11">
        <v>0.43</v>
      </c>
      <c r="Q11">
        <f t="shared" si="10"/>
        <v>0</v>
      </c>
      <c r="R11">
        <f t="shared" si="11"/>
        <v>2.0000000000000018E-2</v>
      </c>
      <c r="U11">
        <v>312.39999999999998</v>
      </c>
      <c r="V11">
        <f t="shared" si="12"/>
        <v>3.2010243277848915E-3</v>
      </c>
      <c r="W11">
        <v>3.0274957155298972</v>
      </c>
      <c r="X11">
        <f t="shared" si="13"/>
        <v>0.86499877586568485</v>
      </c>
      <c r="Y11">
        <f t="shared" si="14"/>
        <v>0.13500122413431515</v>
      </c>
      <c r="Z11">
        <f t="shared" si="15"/>
        <v>6.4073402401528003</v>
      </c>
      <c r="AA11">
        <f t="shared" si="16"/>
        <v>1.8574442456877864</v>
      </c>
    </row>
    <row r="12" spans="1:27" x14ac:dyDescent="0.25">
      <c r="A12">
        <v>332.6</v>
      </c>
      <c r="B12">
        <f t="shared" si="0"/>
        <v>59.450000000000045</v>
      </c>
      <c r="C12">
        <v>0.42</v>
      </c>
      <c r="D12">
        <f t="shared" si="1"/>
        <v>210.23940525</v>
      </c>
      <c r="E12">
        <v>500570012.5</v>
      </c>
      <c r="F12">
        <f t="shared" si="2"/>
        <v>0.74039780999999993</v>
      </c>
      <c r="G12">
        <f t="shared" si="3"/>
        <v>0.52666120122640558</v>
      </c>
      <c r="H12">
        <f t="shared" si="4"/>
        <v>7.5950155255132346E-3</v>
      </c>
      <c r="I12">
        <f t="shared" si="5"/>
        <v>-7.077276471144614E-7</v>
      </c>
      <c r="J12">
        <f t="shared" si="6"/>
        <v>1.2494037880694445E-5</v>
      </c>
      <c r="K12">
        <f t="shared" si="7"/>
        <v>9.2955641832366681E-3</v>
      </c>
      <c r="L12">
        <f t="shared" si="8"/>
        <v>9.7236441832366689E-3</v>
      </c>
      <c r="M12">
        <f t="shared" si="9"/>
        <v>3.2340840553445163</v>
      </c>
      <c r="P12">
        <v>0.41</v>
      </c>
      <c r="Q12">
        <f t="shared" si="10"/>
        <v>-1.0000000000000009E-2</v>
      </c>
      <c r="R12">
        <f t="shared" si="11"/>
        <v>0</v>
      </c>
      <c r="U12">
        <v>322.5</v>
      </c>
      <c r="V12">
        <f t="shared" si="12"/>
        <v>3.1007751937984496E-3</v>
      </c>
      <c r="W12">
        <v>3.1677263432784288</v>
      </c>
      <c r="X12">
        <f t="shared" si="13"/>
        <v>0.90506466950812248</v>
      </c>
      <c r="Y12">
        <f t="shared" si="14"/>
        <v>9.4935330491877523E-2</v>
      </c>
      <c r="Z12">
        <f t="shared" si="15"/>
        <v>9.5334862671127265</v>
      </c>
      <c r="AA12">
        <f t="shared" si="16"/>
        <v>2.2548104710338572</v>
      </c>
    </row>
    <row r="13" spans="1:27" x14ac:dyDescent="0.25">
      <c r="A13">
        <v>342.7</v>
      </c>
      <c r="B13">
        <f t="shared" si="0"/>
        <v>69.550000000000011</v>
      </c>
      <c r="C13">
        <v>0.41</v>
      </c>
      <c r="D13">
        <f t="shared" si="1"/>
        <v>205.233705125</v>
      </c>
      <c r="E13">
        <v>500570012.5</v>
      </c>
      <c r="F13">
        <f t="shared" si="2"/>
        <v>0.72975038999999997</v>
      </c>
      <c r="G13">
        <f t="shared" si="3"/>
        <v>0.53434544927067462</v>
      </c>
      <c r="H13">
        <f t="shared" si="4"/>
        <v>7.4857940784553885E-3</v>
      </c>
      <c r="I13">
        <f t="shared" si="5"/>
        <v>-7.1805374437689576E-7</v>
      </c>
      <c r="J13">
        <f t="shared" si="6"/>
        <v>1.2357418139524052E-5</v>
      </c>
      <c r="K13">
        <f t="shared" si="7"/>
        <v>9.1939190958058945E-3</v>
      </c>
      <c r="L13">
        <f t="shared" si="8"/>
        <v>9.6219990958058953E-3</v>
      </c>
      <c r="M13">
        <f t="shared" si="9"/>
        <v>3.2974590901326803</v>
      </c>
      <c r="P13">
        <v>0.41</v>
      </c>
      <c r="Q13">
        <f t="shared" si="10"/>
        <v>-1.0000000000000009E-2</v>
      </c>
      <c r="R13">
        <f t="shared" si="11"/>
        <v>1.9999999999999962E-2</v>
      </c>
      <c r="U13">
        <v>332.6</v>
      </c>
      <c r="V13">
        <f t="shared" si="12"/>
        <v>3.0066145520144315E-3</v>
      </c>
      <c r="W13">
        <v>3.2340840553445163</v>
      </c>
      <c r="X13">
        <f t="shared" si="13"/>
        <v>0.92402401581271898</v>
      </c>
      <c r="Y13">
        <f t="shared" si="14"/>
        <v>7.597598418728102E-2</v>
      </c>
      <c r="Z13">
        <f t="shared" si="15"/>
        <v>12.162053913444506</v>
      </c>
      <c r="AA13">
        <f t="shared" si="16"/>
        <v>2.4983207696304133</v>
      </c>
    </row>
    <row r="14" spans="1:27" x14ac:dyDescent="0.25">
      <c r="P14">
        <v>0.39</v>
      </c>
      <c r="U14">
        <v>342.7</v>
      </c>
      <c r="V14">
        <f t="shared" si="12"/>
        <v>2.9180040852057193E-3</v>
      </c>
      <c r="W14">
        <v>3.2974590901326803</v>
      </c>
      <c r="X14">
        <f t="shared" si="13"/>
        <v>0.94213116860933721</v>
      </c>
      <c r="Y14">
        <f t="shared" si="14"/>
        <v>5.7868831390662789E-2</v>
      </c>
      <c r="Z14">
        <f t="shared" si="15"/>
        <v>16.280459549099366</v>
      </c>
      <c r="AA14">
        <f t="shared" si="16"/>
        <v>2.7899655880076528</v>
      </c>
    </row>
    <row r="20" spans="2:32" x14ac:dyDescent="0.25">
      <c r="D20" t="s">
        <v>15</v>
      </c>
      <c r="E20" t="s">
        <v>16</v>
      </c>
      <c r="F20" t="s">
        <v>17</v>
      </c>
      <c r="AB20" t="s">
        <v>33</v>
      </c>
      <c r="AC20">
        <v>-2529</v>
      </c>
    </row>
    <row r="21" spans="2:32" x14ac:dyDescent="0.25">
      <c r="C21" t="s">
        <v>18</v>
      </c>
      <c r="D21">
        <v>22</v>
      </c>
      <c r="E21">
        <v>4.0000000000000001E-3</v>
      </c>
      <c r="F21">
        <f>0.80307-0.0010542*D21</f>
        <v>0.77987759999999995</v>
      </c>
      <c r="AB21" t="s">
        <v>34</v>
      </c>
      <c r="AC21">
        <v>10.057</v>
      </c>
    </row>
    <row r="22" spans="2:32" x14ac:dyDescent="0.25">
      <c r="C22">
        <v>0.5</v>
      </c>
      <c r="D22">
        <f>C22*F21</f>
        <v>0.38993879999999997</v>
      </c>
      <c r="AA22" t="s">
        <v>35</v>
      </c>
      <c r="AB22" t="s">
        <v>36</v>
      </c>
      <c r="AC22">
        <v>8.1344600000000007</v>
      </c>
    </row>
    <row r="23" spans="2:32" x14ac:dyDescent="0.25">
      <c r="D23" t="s">
        <v>19</v>
      </c>
    </row>
    <row r="24" spans="2:32" x14ac:dyDescent="0.25">
      <c r="AB24" t="s">
        <v>37</v>
      </c>
      <c r="AC24">
        <f>-(AC20*AC22)/1000</f>
        <v>20.572049340000003</v>
      </c>
      <c r="AD24" t="s">
        <v>39</v>
      </c>
      <c r="AF24">
        <f>20572/81.80826</f>
        <v>251.4660500052195</v>
      </c>
    </row>
    <row r="25" spans="2:32" x14ac:dyDescent="0.25">
      <c r="AB25" t="s">
        <v>38</v>
      </c>
      <c r="AC25">
        <f>AC21*AC22</f>
        <v>81.808264220000012</v>
      </c>
      <c r="AD25" t="s">
        <v>40</v>
      </c>
    </row>
    <row r="28" spans="2:32" x14ac:dyDescent="0.25">
      <c r="B28" t="s">
        <v>20</v>
      </c>
      <c r="F28" t="s">
        <v>21</v>
      </c>
      <c r="G28" t="s">
        <v>22</v>
      </c>
    </row>
    <row r="29" spans="2:32" x14ac:dyDescent="0.25">
      <c r="B29" t="s">
        <v>23</v>
      </c>
      <c r="F29">
        <v>20</v>
      </c>
      <c r="G29">
        <f>-5.24*10^-7</f>
        <v>-5.2399999999999998E-7</v>
      </c>
    </row>
    <row r="31" spans="2:32" x14ac:dyDescent="0.25">
      <c r="F31" s="3" t="s">
        <v>24</v>
      </c>
      <c r="G31">
        <f>-856.16/2000000</f>
        <v>-4.2808000000000001E-4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opLeftCell="B1" workbookViewId="0">
      <selection activeCell="G36" sqref="G36"/>
    </sheetView>
  </sheetViews>
  <sheetFormatPr defaultRowHeight="15" x14ac:dyDescent="0.25"/>
  <cols>
    <col min="1" max="1" width="21.42578125" customWidth="1"/>
    <col min="2" max="2" width="13.140625" customWidth="1"/>
    <col min="3" max="3" width="11.7109375" customWidth="1"/>
    <col min="4" max="4" width="17.85546875" customWidth="1"/>
    <col min="5" max="5" width="15.85546875" customWidth="1"/>
    <col min="6" max="6" width="20.85546875" customWidth="1"/>
    <col min="7" max="7" width="18.85546875" customWidth="1"/>
    <col min="8" max="8" width="17.28515625" customWidth="1"/>
    <col min="9" max="9" width="16.5703125" customWidth="1"/>
    <col min="10" max="10" width="18.7109375" customWidth="1"/>
    <col min="11" max="11" width="15.42578125" customWidth="1"/>
    <col min="12" max="12" width="13.28515625" customWidth="1"/>
    <col min="13" max="13" width="18.5703125" customWidth="1"/>
    <col min="16" max="16" width="16.42578125" customWidth="1"/>
  </cols>
  <sheetData>
    <row r="1" spans="1:18" x14ac:dyDescent="0.25">
      <c r="A1" t="s">
        <v>25</v>
      </c>
      <c r="B1" t="s">
        <v>0</v>
      </c>
      <c r="C1" t="s">
        <v>1</v>
      </c>
      <c r="D1" s="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s="1" t="s">
        <v>8</v>
      </c>
      <c r="K1" s="1" t="s">
        <v>9</v>
      </c>
      <c r="L1" s="2" t="s">
        <v>10</v>
      </c>
      <c r="M1" t="s">
        <v>11</v>
      </c>
    </row>
    <row r="2" spans="1:18" x14ac:dyDescent="0.25">
      <c r="A2">
        <v>236.7</v>
      </c>
      <c r="B2">
        <f>A2-273.15</f>
        <v>-36.449999999999989</v>
      </c>
      <c r="C2">
        <v>0.27</v>
      </c>
      <c r="D2">
        <f>500.5700125*C2</f>
        <v>135.15390337500003</v>
      </c>
      <c r="E2">
        <v>500570012.5</v>
      </c>
      <c r="F2">
        <f>0.80307-0.0010542*B2</f>
        <v>0.84149558999999996</v>
      </c>
      <c r="G2">
        <f>$D$22/F2</f>
        <v>0.46338781169370119</v>
      </c>
      <c r="H2">
        <f>$E$21/G2</f>
        <v>8.6320785723298116E-3</v>
      </c>
      <c r="I2">
        <f>$G$29*(1/F2)</f>
        <v>-6.2270082722596332E-7</v>
      </c>
      <c r="J2">
        <f>((3*D2)/(4*PI()*E2*H2))+I2</f>
        <v>6.8445333287324176E-6</v>
      </c>
      <c r="K2">
        <f>J2*744</f>
        <v>5.0923327965769188E-3</v>
      </c>
      <c r="L2">
        <f>K2-$G$31</f>
        <v>5.5204127965769187E-3</v>
      </c>
      <c r="M2">
        <f>L2*A2</f>
        <v>1.3066817089497567</v>
      </c>
      <c r="Q2" s="1"/>
      <c r="R2" s="1"/>
    </row>
    <row r="3" spans="1:18" x14ac:dyDescent="0.25">
      <c r="A3">
        <v>243.8</v>
      </c>
      <c r="B3">
        <f t="shared" ref="B3:B13" si="0">A3-273.15</f>
        <v>-29.349999999999966</v>
      </c>
      <c r="C3">
        <v>0.28999999999999998</v>
      </c>
      <c r="D3">
        <f t="shared" ref="D3:D13" si="1">500.5700125*C3</f>
        <v>145.16530362500001</v>
      </c>
      <c r="E3">
        <v>500570012.5</v>
      </c>
      <c r="F3">
        <f t="shared" ref="F3:F13" si="2">0.80307-0.0010542*B3</f>
        <v>0.8340107699999999</v>
      </c>
      <c r="G3">
        <f t="shared" ref="G3:G13" si="3">$D$22/F3</f>
        <v>0.46754648024509327</v>
      </c>
      <c r="H3">
        <f t="shared" ref="H3:H13" si="4">$E$21/G3</f>
        <v>8.555299139249543E-3</v>
      </c>
      <c r="I3">
        <f t="shared" ref="I3:I13" si="5">$G$29*(1/F3)</f>
        <v>-6.2828924859087859E-7</v>
      </c>
      <c r="J3">
        <f t="shared" ref="J3:J13" si="6">((3*D3)/(4*PI()*E3*H3))+I3</f>
        <v>7.4640520147734597E-6</v>
      </c>
      <c r="K3">
        <f t="shared" ref="K3:K13" si="7">J3*744</f>
        <v>5.5532546989914538E-3</v>
      </c>
      <c r="L3">
        <f t="shared" ref="L3:L13" si="8">K3-$G$31</f>
        <v>5.9813346989914537E-3</v>
      </c>
      <c r="M3">
        <f t="shared" ref="M3:M13" si="9">L3*A3</f>
        <v>1.4582493996141166</v>
      </c>
    </row>
    <row r="4" spans="1:18" x14ac:dyDescent="0.25">
      <c r="A4">
        <v>253.8</v>
      </c>
      <c r="B4">
        <f t="shared" si="0"/>
        <v>-19.349999999999966</v>
      </c>
      <c r="C4">
        <v>0.34</v>
      </c>
      <c r="D4">
        <f t="shared" si="1"/>
        <v>170.19380425000003</v>
      </c>
      <c r="E4">
        <v>500570012.5</v>
      </c>
      <c r="F4">
        <f t="shared" si="2"/>
        <v>0.82346876999999996</v>
      </c>
      <c r="G4">
        <f t="shared" si="3"/>
        <v>0.47353198348979281</v>
      </c>
      <c r="H4">
        <f t="shared" si="4"/>
        <v>8.4471590926576169E-3</v>
      </c>
      <c r="I4">
        <f t="shared" si="5"/>
        <v>-6.3633257154366645E-7</v>
      </c>
      <c r="J4">
        <f t="shared" si="6"/>
        <v>8.9726993037313988E-6</v>
      </c>
      <c r="K4">
        <f t="shared" si="7"/>
        <v>6.6756882819761602E-3</v>
      </c>
      <c r="L4">
        <f t="shared" si="8"/>
        <v>7.1037682819761602E-3</v>
      </c>
      <c r="M4">
        <f t="shared" si="9"/>
        <v>1.8029363899655495</v>
      </c>
    </row>
    <row r="5" spans="1:18" x14ac:dyDescent="0.25">
      <c r="A5">
        <v>263.89999999999998</v>
      </c>
      <c r="B5">
        <f t="shared" si="0"/>
        <v>-9.25</v>
      </c>
      <c r="C5">
        <v>0.38</v>
      </c>
      <c r="D5">
        <f t="shared" si="1"/>
        <v>190.21660475000002</v>
      </c>
      <c r="E5">
        <v>500570012.5</v>
      </c>
      <c r="F5">
        <f t="shared" si="2"/>
        <v>0.81282135</v>
      </c>
      <c r="G5">
        <f t="shared" si="3"/>
        <v>0.4797349380648035</v>
      </c>
      <c r="H5">
        <f t="shared" si="4"/>
        <v>8.3379376455997717E-3</v>
      </c>
      <c r="I5">
        <f t="shared" si="5"/>
        <v>-6.4466810572827593E-7</v>
      </c>
      <c r="J5">
        <f t="shared" si="6"/>
        <v>1.0235518508554654E-5</v>
      </c>
      <c r="K5">
        <f t="shared" si="7"/>
        <v>7.6152257703646625E-3</v>
      </c>
      <c r="L5">
        <f t="shared" si="8"/>
        <v>8.0433057703646633E-3</v>
      </c>
      <c r="M5">
        <f t="shared" si="9"/>
        <v>2.1226283927992347</v>
      </c>
    </row>
    <row r="6" spans="1:18" x14ac:dyDescent="0.25">
      <c r="A6">
        <v>272</v>
      </c>
      <c r="B6">
        <f t="shared" si="0"/>
        <v>-1.1499999999999773</v>
      </c>
      <c r="C6">
        <v>0.4</v>
      </c>
      <c r="D6">
        <f t="shared" si="1"/>
        <v>200.22800500000002</v>
      </c>
      <c r="E6">
        <v>500570012.5</v>
      </c>
      <c r="F6">
        <f t="shared" si="2"/>
        <v>0.80428232999999993</v>
      </c>
      <c r="G6">
        <f t="shared" si="3"/>
        <v>0.4848282567640147</v>
      </c>
      <c r="H6">
        <f t="shared" si="4"/>
        <v>8.2503442078603103E-3</v>
      </c>
      <c r="I6">
        <f t="shared" si="5"/>
        <v>-6.5151251053843247E-7</v>
      </c>
      <c r="J6">
        <f t="shared" si="6"/>
        <v>1.0922909531654507E-5</v>
      </c>
      <c r="K6">
        <f t="shared" si="7"/>
        <v>8.1266446915509525E-3</v>
      </c>
      <c r="L6">
        <f t="shared" si="8"/>
        <v>8.5547246915509533E-3</v>
      </c>
      <c r="M6">
        <f t="shared" si="9"/>
        <v>2.3268851161018591</v>
      </c>
    </row>
    <row r="7" spans="1:18" x14ac:dyDescent="0.25">
      <c r="A7">
        <v>282.10000000000002</v>
      </c>
      <c r="B7">
        <f t="shared" si="0"/>
        <v>8.9500000000000455</v>
      </c>
      <c r="C7">
        <v>0.42</v>
      </c>
      <c r="D7">
        <f t="shared" si="1"/>
        <v>210.23940525</v>
      </c>
      <c r="E7">
        <v>500570012.5</v>
      </c>
      <c r="F7">
        <f t="shared" si="2"/>
        <v>0.79363490999999986</v>
      </c>
      <c r="G7">
        <f t="shared" si="3"/>
        <v>0.49133272123828331</v>
      </c>
      <c r="H7">
        <f t="shared" si="4"/>
        <v>8.1411227608024633E-3</v>
      </c>
      <c r="I7">
        <f t="shared" si="5"/>
        <v>-6.6025321391167136E-7</v>
      </c>
      <c r="J7">
        <f t="shared" si="6"/>
        <v>1.1655936713927076E-5</v>
      </c>
      <c r="K7">
        <f t="shared" si="7"/>
        <v>8.6720169151617444E-3</v>
      </c>
      <c r="L7">
        <f t="shared" si="8"/>
        <v>9.1000969151617452E-3</v>
      </c>
      <c r="M7">
        <f t="shared" si="9"/>
        <v>2.5671373397671284</v>
      </c>
    </row>
    <row r="8" spans="1:18" x14ac:dyDescent="0.25">
      <c r="A8">
        <v>292.2</v>
      </c>
      <c r="B8">
        <f t="shared" si="0"/>
        <v>19.050000000000011</v>
      </c>
      <c r="C8">
        <v>0.43</v>
      </c>
      <c r="D8">
        <f t="shared" si="1"/>
        <v>215.24510537500001</v>
      </c>
      <c r="E8">
        <v>500570012.5</v>
      </c>
      <c r="F8">
        <f t="shared" si="2"/>
        <v>0.7829874899999999</v>
      </c>
      <c r="G8">
        <f t="shared" si="3"/>
        <v>0.49801408704499228</v>
      </c>
      <c r="H8">
        <f t="shared" si="4"/>
        <v>8.0319013137446181E-3</v>
      </c>
      <c r="I8">
        <f t="shared" si="5"/>
        <v>-6.6923163740457721E-7</v>
      </c>
      <c r="J8">
        <f t="shared" si="6"/>
        <v>1.2111669706415959E-5</v>
      </c>
      <c r="K8">
        <f t="shared" si="7"/>
        <v>9.0110822615734731E-3</v>
      </c>
      <c r="L8">
        <f t="shared" si="8"/>
        <v>9.4391622615734739E-3</v>
      </c>
      <c r="M8">
        <f t="shared" si="9"/>
        <v>2.758123212831769</v>
      </c>
    </row>
    <row r="9" spans="1:18" x14ac:dyDescent="0.25">
      <c r="A9">
        <v>302.3</v>
      </c>
      <c r="B9">
        <f t="shared" si="0"/>
        <v>29.150000000000034</v>
      </c>
      <c r="C9">
        <v>0.43</v>
      </c>
      <c r="D9">
        <f t="shared" si="1"/>
        <v>215.24510537500001</v>
      </c>
      <c r="E9">
        <v>500570012.5</v>
      </c>
      <c r="F9">
        <f t="shared" si="2"/>
        <v>0.77234006999999993</v>
      </c>
      <c r="G9">
        <f t="shared" si="3"/>
        <v>0.50487967042807969</v>
      </c>
      <c r="H9">
        <f t="shared" si="4"/>
        <v>7.9226798666867729E-3</v>
      </c>
      <c r="I9">
        <f t="shared" si="5"/>
        <v>-6.7845761259026742E-7</v>
      </c>
      <c r="J9">
        <f t="shared" si="6"/>
        <v>1.2278640240866521E-5</v>
      </c>
      <c r="K9">
        <f t="shared" si="7"/>
        <v>9.1353083392046921E-3</v>
      </c>
      <c r="L9">
        <f t="shared" si="8"/>
        <v>9.5633883392046929E-3</v>
      </c>
      <c r="M9">
        <f t="shared" si="9"/>
        <v>2.8910122949415786</v>
      </c>
    </row>
    <row r="10" spans="1:18" x14ac:dyDescent="0.25">
      <c r="A10">
        <v>312.39999999999998</v>
      </c>
      <c r="B10">
        <f t="shared" si="0"/>
        <v>39.25</v>
      </c>
      <c r="C10">
        <v>0.43</v>
      </c>
      <c r="D10">
        <f t="shared" si="1"/>
        <v>215.24510537500001</v>
      </c>
      <c r="E10">
        <v>500570012.5</v>
      </c>
      <c r="F10">
        <f t="shared" si="2"/>
        <v>0.76169264999999997</v>
      </c>
      <c r="G10">
        <f t="shared" si="3"/>
        <v>0.51193719671576188</v>
      </c>
      <c r="H10">
        <f t="shared" si="4"/>
        <v>7.8134584196289276E-3</v>
      </c>
      <c r="I10">
        <f t="shared" si="5"/>
        <v>-6.8794152076956497E-7</v>
      </c>
      <c r="J10">
        <f t="shared" si="6"/>
        <v>1.2450278814080279E-5</v>
      </c>
      <c r="K10">
        <f t="shared" si="7"/>
        <v>9.2630074376757274E-3</v>
      </c>
      <c r="L10">
        <f t="shared" si="8"/>
        <v>9.6910874376757283E-3</v>
      </c>
      <c r="M10">
        <f t="shared" si="9"/>
        <v>3.0274957155298972</v>
      </c>
    </row>
    <row r="11" spans="1:18" x14ac:dyDescent="0.25">
      <c r="A11">
        <v>322.5</v>
      </c>
      <c r="B11">
        <f t="shared" si="0"/>
        <v>49.350000000000023</v>
      </c>
      <c r="C11">
        <v>0.41</v>
      </c>
      <c r="D11">
        <f t="shared" si="1"/>
        <v>205.233705125</v>
      </c>
      <c r="E11">
        <v>500570012.5</v>
      </c>
      <c r="F11">
        <f t="shared" si="2"/>
        <v>0.7510452299999999</v>
      </c>
      <c r="G11">
        <f t="shared" si="3"/>
        <v>0.51919482931806915</v>
      </c>
      <c r="H11">
        <f t="shared" si="4"/>
        <v>7.7042369725710807E-3</v>
      </c>
      <c r="I11">
        <f t="shared" si="5"/>
        <v>-6.9769433193790485E-7</v>
      </c>
      <c r="J11">
        <f t="shared" si="6"/>
        <v>1.2007040783297103E-5</v>
      </c>
      <c r="K11">
        <f t="shared" si="7"/>
        <v>8.9332383427730439E-3</v>
      </c>
      <c r="L11">
        <f t="shared" si="8"/>
        <v>9.3613183427730447E-3</v>
      </c>
      <c r="M11">
        <f t="shared" si="9"/>
        <v>3.0190251655443068</v>
      </c>
    </row>
    <row r="12" spans="1:18" x14ac:dyDescent="0.25">
      <c r="A12">
        <v>332.6</v>
      </c>
      <c r="B12">
        <f t="shared" si="0"/>
        <v>59.450000000000045</v>
      </c>
      <c r="C12">
        <v>0.41</v>
      </c>
      <c r="D12">
        <f t="shared" si="1"/>
        <v>205.233705125</v>
      </c>
      <c r="E12">
        <v>500570012.5</v>
      </c>
      <c r="F12">
        <f t="shared" si="2"/>
        <v>0.74039780999999993</v>
      </c>
      <c r="G12">
        <f t="shared" si="3"/>
        <v>0.52666120122640558</v>
      </c>
      <c r="H12">
        <f t="shared" si="4"/>
        <v>7.5950155255132346E-3</v>
      </c>
      <c r="I12">
        <f t="shared" si="5"/>
        <v>-7.077276471144614E-7</v>
      </c>
      <c r="J12">
        <f t="shared" si="6"/>
        <v>1.2179710130032328E-5</v>
      </c>
      <c r="K12">
        <f t="shared" si="7"/>
        <v>9.0617043367440513E-3</v>
      </c>
      <c r="L12">
        <f t="shared" si="8"/>
        <v>9.4897843367440522E-3</v>
      </c>
      <c r="M12">
        <f t="shared" si="9"/>
        <v>3.1563022704010719</v>
      </c>
    </row>
    <row r="13" spans="1:18" x14ac:dyDescent="0.25">
      <c r="A13">
        <v>342.7</v>
      </c>
      <c r="B13">
        <f t="shared" si="0"/>
        <v>69.550000000000011</v>
      </c>
      <c r="C13">
        <v>0.39</v>
      </c>
      <c r="D13">
        <f t="shared" si="1"/>
        <v>195.22230487500002</v>
      </c>
      <c r="E13">
        <v>500570012.5</v>
      </c>
      <c r="F13">
        <f t="shared" si="2"/>
        <v>0.72975038999999997</v>
      </c>
      <c r="G13">
        <f t="shared" si="3"/>
        <v>0.53434544927067462</v>
      </c>
      <c r="H13">
        <f t="shared" si="4"/>
        <v>7.4857940784553885E-3</v>
      </c>
      <c r="I13">
        <f t="shared" si="5"/>
        <v>-7.1805374437689576E-7</v>
      </c>
      <c r="J13">
        <f t="shared" si="6"/>
        <v>1.1719590242748399E-5</v>
      </c>
      <c r="K13">
        <f t="shared" si="7"/>
        <v>8.7193751406048087E-3</v>
      </c>
      <c r="L13">
        <f t="shared" si="8"/>
        <v>9.1474551406048096E-3</v>
      </c>
      <c r="M13">
        <f t="shared" si="9"/>
        <v>3.1348328766852682</v>
      </c>
    </row>
    <row r="20" spans="2:7" x14ac:dyDescent="0.25">
      <c r="D20" t="s">
        <v>15</v>
      </c>
      <c r="E20" t="s">
        <v>16</v>
      </c>
      <c r="F20" t="s">
        <v>17</v>
      </c>
    </row>
    <row r="21" spans="2:7" x14ac:dyDescent="0.25">
      <c r="C21" t="s">
        <v>18</v>
      </c>
      <c r="D21">
        <v>22</v>
      </c>
      <c r="E21">
        <v>4.0000000000000001E-3</v>
      </c>
      <c r="F21">
        <f>0.80307-0.0010542*D21</f>
        <v>0.77987759999999995</v>
      </c>
    </row>
    <row r="22" spans="2:7" x14ac:dyDescent="0.25">
      <c r="C22">
        <v>0.5</v>
      </c>
      <c r="D22">
        <f>C22*F21</f>
        <v>0.38993879999999997</v>
      </c>
    </row>
    <row r="23" spans="2:7" x14ac:dyDescent="0.25">
      <c r="D23" t="s">
        <v>19</v>
      </c>
    </row>
    <row r="28" spans="2:7" x14ac:dyDescent="0.25">
      <c r="B28" t="s">
        <v>20</v>
      </c>
      <c r="F28" t="s">
        <v>21</v>
      </c>
      <c r="G28" t="s">
        <v>22</v>
      </c>
    </row>
    <row r="29" spans="2:7" x14ac:dyDescent="0.25">
      <c r="B29" t="s">
        <v>23</v>
      </c>
      <c r="F29">
        <v>20</v>
      </c>
      <c r="G29">
        <f>-5.24*10^-7</f>
        <v>-5.2399999999999998E-7</v>
      </c>
    </row>
    <row r="31" spans="2:7" x14ac:dyDescent="0.25">
      <c r="F31" s="3" t="s">
        <v>24</v>
      </c>
      <c r="G31">
        <f>-856.16/2000000</f>
        <v>-4.2808000000000001E-4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MeCN</vt:lpstr>
      <vt:lpstr>TMS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2023-07-27T15:58:20Z</dcterms:modified>
</cp:coreProperties>
</file>