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MeCN" sheetId="1" r:id="rId1"/>
    <sheet name="TMS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A22" i="2" l="1"/>
  <c r="AA23" i="2"/>
  <c r="AC4" i="2"/>
  <c r="AB3" i="2"/>
  <c r="AC3" i="2" s="1"/>
  <c r="AB4" i="2"/>
  <c r="AB2" i="2"/>
  <c r="AC2" i="2" s="1"/>
  <c r="AA3" i="2"/>
  <c r="AA4" i="2"/>
  <c r="AA11" i="2"/>
  <c r="AB11" i="2" s="1"/>
  <c r="AC11" i="2" s="1"/>
  <c r="AA2" i="2"/>
  <c r="Z3" i="2"/>
  <c r="Z4" i="2"/>
  <c r="Z5" i="2"/>
  <c r="AA5" i="2" s="1"/>
  <c r="AB5" i="2" s="1"/>
  <c r="AC5" i="2" s="1"/>
  <c r="Z6" i="2"/>
  <c r="Z7" i="2"/>
  <c r="Z8" i="2"/>
  <c r="Z10" i="2"/>
  <c r="Z11" i="2"/>
  <c r="Z2" i="2"/>
  <c r="X3" i="2"/>
  <c r="X4" i="2"/>
  <c r="X5" i="2"/>
  <c r="X6" i="2"/>
  <c r="X7" i="2"/>
  <c r="X8" i="2"/>
  <c r="X10" i="2"/>
  <c r="X11" i="2"/>
  <c r="X2" i="2"/>
  <c r="Y26" i="1"/>
  <c r="AA10" i="2" l="1"/>
  <c r="AB10" i="2" s="1"/>
  <c r="AC10" i="2" s="1"/>
  <c r="AA8" i="2"/>
  <c r="AB8" i="2" s="1"/>
  <c r="AC8" i="2" s="1"/>
  <c r="AA7" i="2"/>
  <c r="AB7" i="2" s="1"/>
  <c r="AC7" i="2" s="1"/>
  <c r="AA6" i="2"/>
  <c r="AB6" i="2" s="1"/>
  <c r="AC6" i="2" s="1"/>
  <c r="Y25" i="1"/>
  <c r="X8" i="1"/>
  <c r="Z8" i="1"/>
  <c r="AA8" i="1" s="1"/>
  <c r="X10" i="1"/>
  <c r="Z10" i="1"/>
  <c r="AA10" i="1"/>
  <c r="AB10" i="1"/>
  <c r="AC10" i="1" s="1"/>
  <c r="AC3" i="1"/>
  <c r="AB3" i="1"/>
  <c r="AB4" i="1"/>
  <c r="AC4" i="1" s="1"/>
  <c r="AA3" i="1"/>
  <c r="AA4" i="1"/>
  <c r="AA5" i="1"/>
  <c r="Z3" i="1"/>
  <c r="Z4" i="1"/>
  <c r="Z5" i="1"/>
  <c r="AB5" i="1" s="1"/>
  <c r="AC5" i="1" s="1"/>
  <c r="Z6" i="1"/>
  <c r="AA6" i="1" s="1"/>
  <c r="Z7" i="1"/>
  <c r="AA7" i="1" s="1"/>
  <c r="Z11" i="1"/>
  <c r="AA11" i="1" s="1"/>
  <c r="Z2" i="1"/>
  <c r="AA2" i="1" s="1"/>
  <c r="AB2" i="1" s="1"/>
  <c r="AC2" i="1" s="1"/>
  <c r="X3" i="1"/>
  <c r="X4" i="1"/>
  <c r="X5" i="1"/>
  <c r="X6" i="1"/>
  <c r="X7" i="1"/>
  <c r="X11" i="1"/>
  <c r="X2" i="1"/>
  <c r="AB11" i="1" l="1"/>
  <c r="AC11" i="1" s="1"/>
  <c r="AB7" i="1"/>
  <c r="AC7" i="1" s="1"/>
  <c r="AB6" i="1"/>
  <c r="AC6" i="1" s="1"/>
  <c r="AB8" i="1"/>
  <c r="AC8" i="1" s="1"/>
  <c r="G31" i="2" l="1"/>
  <c r="G29" i="2"/>
  <c r="D22" i="2"/>
  <c r="G3" i="2" s="1"/>
  <c r="H3" i="2" s="1"/>
  <c r="F21" i="2"/>
  <c r="D13" i="2"/>
  <c r="B13" i="2"/>
  <c r="F13" i="2" s="1"/>
  <c r="S12" i="2"/>
  <c r="R12" i="2"/>
  <c r="D12" i="2"/>
  <c r="B12" i="2"/>
  <c r="F12" i="2" s="1"/>
  <c r="S11" i="2"/>
  <c r="R11" i="2"/>
  <c r="D11" i="2"/>
  <c r="B11" i="2"/>
  <c r="F11" i="2" s="1"/>
  <c r="S10" i="2"/>
  <c r="R10" i="2"/>
  <c r="D10" i="2"/>
  <c r="B10" i="2"/>
  <c r="F10" i="2" s="1"/>
  <c r="S9" i="2"/>
  <c r="R9" i="2"/>
  <c r="D9" i="2"/>
  <c r="B9" i="2"/>
  <c r="F9" i="2" s="1"/>
  <c r="S8" i="2"/>
  <c r="R8" i="2"/>
  <c r="D8" i="2"/>
  <c r="B8" i="2"/>
  <c r="F8" i="2" s="1"/>
  <c r="S7" i="2"/>
  <c r="R7" i="2"/>
  <c r="D7" i="2"/>
  <c r="B7" i="2"/>
  <c r="F7" i="2" s="1"/>
  <c r="S6" i="2"/>
  <c r="R6" i="2"/>
  <c r="D6" i="2"/>
  <c r="B6" i="2"/>
  <c r="F6" i="2" s="1"/>
  <c r="S5" i="2"/>
  <c r="R5" i="2"/>
  <c r="D5" i="2"/>
  <c r="B5" i="2"/>
  <c r="F5" i="2" s="1"/>
  <c r="S4" i="2"/>
  <c r="R4" i="2"/>
  <c r="D4" i="2"/>
  <c r="B4" i="2"/>
  <c r="F4" i="2" s="1"/>
  <c r="S3" i="2"/>
  <c r="R3" i="2"/>
  <c r="D3" i="2"/>
  <c r="B3" i="2"/>
  <c r="F3" i="2" s="1"/>
  <c r="S2" i="2"/>
  <c r="R2" i="2"/>
  <c r="D2" i="2"/>
  <c r="B2" i="2"/>
  <c r="F2" i="2" s="1"/>
  <c r="G31" i="1"/>
  <c r="G29" i="1"/>
  <c r="F21" i="1"/>
  <c r="D22" i="1" s="1"/>
  <c r="D13" i="1"/>
  <c r="B13" i="1"/>
  <c r="F13" i="1" s="1"/>
  <c r="I13" i="1" s="1"/>
  <c r="S12" i="1"/>
  <c r="R12" i="1"/>
  <c r="D12" i="1"/>
  <c r="B12" i="1"/>
  <c r="F12" i="1" s="1"/>
  <c r="I12" i="1" s="1"/>
  <c r="S11" i="1"/>
  <c r="R11" i="1"/>
  <c r="F11" i="1"/>
  <c r="D11" i="1"/>
  <c r="B11" i="1"/>
  <c r="S10" i="1"/>
  <c r="R10" i="1"/>
  <c r="F10" i="1"/>
  <c r="D10" i="1"/>
  <c r="B10" i="1"/>
  <c r="S9" i="1"/>
  <c r="R9" i="1"/>
  <c r="D9" i="1"/>
  <c r="B9" i="1"/>
  <c r="F9" i="1" s="1"/>
  <c r="I9" i="1" s="1"/>
  <c r="S8" i="1"/>
  <c r="R8" i="1"/>
  <c r="D8" i="1"/>
  <c r="B8" i="1"/>
  <c r="F8" i="1" s="1"/>
  <c r="I8" i="1" s="1"/>
  <c r="S7" i="1"/>
  <c r="R7" i="1"/>
  <c r="F7" i="1"/>
  <c r="D7" i="1"/>
  <c r="B7" i="1"/>
  <c r="S6" i="1"/>
  <c r="R6" i="1"/>
  <c r="F6" i="1"/>
  <c r="D6" i="1"/>
  <c r="B6" i="1"/>
  <c r="S5" i="1"/>
  <c r="R5" i="1"/>
  <c r="D5" i="1"/>
  <c r="B5" i="1"/>
  <c r="F5" i="1" s="1"/>
  <c r="I5" i="1" s="1"/>
  <c r="S4" i="1"/>
  <c r="R4" i="1"/>
  <c r="D4" i="1"/>
  <c r="B4" i="1"/>
  <c r="F4" i="1" s="1"/>
  <c r="I4" i="1" s="1"/>
  <c r="S3" i="1"/>
  <c r="R3" i="1"/>
  <c r="F3" i="1"/>
  <c r="D3" i="1"/>
  <c r="B3" i="1"/>
  <c r="S2" i="1"/>
  <c r="R2" i="1"/>
  <c r="D2" i="1"/>
  <c r="B2" i="1"/>
  <c r="F2" i="1" s="1"/>
  <c r="G4" i="2" l="1"/>
  <c r="H4" i="2" s="1"/>
  <c r="I3" i="1"/>
  <c r="I2" i="1"/>
  <c r="I10" i="1"/>
  <c r="I7" i="1"/>
  <c r="G9" i="2"/>
  <c r="H9" i="2" s="1"/>
  <c r="G11" i="2"/>
  <c r="H11" i="2" s="1"/>
  <c r="G5" i="2"/>
  <c r="H5" i="2" s="1"/>
  <c r="J5" i="2" s="1"/>
  <c r="K5" i="2" s="1"/>
  <c r="L5" i="2" s="1"/>
  <c r="M5" i="2" s="1"/>
  <c r="G7" i="2"/>
  <c r="H7" i="2" s="1"/>
  <c r="G13" i="2"/>
  <c r="H13" i="2" s="1"/>
  <c r="G2" i="2"/>
  <c r="H2" i="2" s="1"/>
  <c r="I6" i="1"/>
  <c r="I11" i="1"/>
  <c r="G6" i="2"/>
  <c r="H6" i="2" s="1"/>
  <c r="G8" i="2"/>
  <c r="H8" i="2" s="1"/>
  <c r="G10" i="2"/>
  <c r="H10" i="2" s="1"/>
  <c r="G12" i="2"/>
  <c r="H12" i="2" s="1"/>
  <c r="I13" i="2"/>
  <c r="I2" i="2"/>
  <c r="J2" i="2" s="1"/>
  <c r="K2" i="2" s="1"/>
  <c r="L2" i="2" s="1"/>
  <c r="M2" i="2" s="1"/>
  <c r="I3" i="2"/>
  <c r="J3" i="2" s="1"/>
  <c r="K3" i="2" s="1"/>
  <c r="L3" i="2" s="1"/>
  <c r="M3" i="2" s="1"/>
  <c r="I4" i="2"/>
  <c r="I5" i="2"/>
  <c r="I6" i="2"/>
  <c r="J6" i="2" s="1"/>
  <c r="K6" i="2" s="1"/>
  <c r="L6" i="2" s="1"/>
  <c r="M6" i="2" s="1"/>
  <c r="I7" i="2"/>
  <c r="I8" i="2"/>
  <c r="I9" i="2"/>
  <c r="I10" i="2"/>
  <c r="J10" i="2" s="1"/>
  <c r="K10" i="2" s="1"/>
  <c r="L10" i="2" s="1"/>
  <c r="M10" i="2" s="1"/>
  <c r="I11" i="2"/>
  <c r="J11" i="2" s="1"/>
  <c r="K11" i="2" s="1"/>
  <c r="L11" i="2" s="1"/>
  <c r="M11" i="2" s="1"/>
  <c r="I12" i="2"/>
  <c r="G13" i="1"/>
  <c r="H13" i="1" s="1"/>
  <c r="J13" i="1" s="1"/>
  <c r="K13" i="1" s="1"/>
  <c r="L13" i="1" s="1"/>
  <c r="M13" i="1" s="1"/>
  <c r="G12" i="1"/>
  <c r="H12" i="1" s="1"/>
  <c r="J12" i="1" s="1"/>
  <c r="K12" i="1" s="1"/>
  <c r="L12" i="1" s="1"/>
  <c r="M12" i="1" s="1"/>
  <c r="G11" i="1"/>
  <c r="H11" i="1" s="1"/>
  <c r="J11" i="1" s="1"/>
  <c r="K11" i="1" s="1"/>
  <c r="L11" i="1" s="1"/>
  <c r="M11" i="1" s="1"/>
  <c r="G10" i="1"/>
  <c r="H10" i="1" s="1"/>
  <c r="J10" i="1" s="1"/>
  <c r="K10" i="1" s="1"/>
  <c r="L10" i="1" s="1"/>
  <c r="M10" i="1" s="1"/>
  <c r="G9" i="1"/>
  <c r="H9" i="1" s="1"/>
  <c r="J9" i="1" s="1"/>
  <c r="K9" i="1" s="1"/>
  <c r="L9" i="1" s="1"/>
  <c r="M9" i="1" s="1"/>
  <c r="G8" i="1"/>
  <c r="H8" i="1" s="1"/>
  <c r="J8" i="1" s="1"/>
  <c r="K8" i="1" s="1"/>
  <c r="L8" i="1" s="1"/>
  <c r="M8" i="1" s="1"/>
  <c r="G7" i="1"/>
  <c r="H7" i="1" s="1"/>
  <c r="J7" i="1" s="1"/>
  <c r="K7" i="1" s="1"/>
  <c r="L7" i="1" s="1"/>
  <c r="M7" i="1" s="1"/>
  <c r="G6" i="1"/>
  <c r="H6" i="1" s="1"/>
  <c r="G5" i="1"/>
  <c r="H5" i="1" s="1"/>
  <c r="J5" i="1" s="1"/>
  <c r="K5" i="1" s="1"/>
  <c r="L5" i="1" s="1"/>
  <c r="M5" i="1" s="1"/>
  <c r="G4" i="1"/>
  <c r="H4" i="1" s="1"/>
  <c r="J4" i="1" s="1"/>
  <c r="K4" i="1" s="1"/>
  <c r="L4" i="1" s="1"/>
  <c r="M4" i="1" s="1"/>
  <c r="G3" i="1"/>
  <c r="H3" i="1" s="1"/>
  <c r="J3" i="1" s="1"/>
  <c r="K3" i="1" s="1"/>
  <c r="L3" i="1" s="1"/>
  <c r="M3" i="1" s="1"/>
  <c r="G2" i="1"/>
  <c r="H2" i="1" s="1"/>
  <c r="J2" i="1" s="1"/>
  <c r="K2" i="1" s="1"/>
  <c r="L2" i="1" s="1"/>
  <c r="M2" i="1" s="1"/>
  <c r="J6" i="1"/>
  <c r="K6" i="1" s="1"/>
  <c r="L6" i="1" s="1"/>
  <c r="M6" i="1" s="1"/>
  <c r="J13" i="2" l="1"/>
  <c r="K13" i="2" s="1"/>
  <c r="L13" i="2" s="1"/>
  <c r="M13" i="2" s="1"/>
  <c r="J8" i="2"/>
  <c r="K8" i="2" s="1"/>
  <c r="L8" i="2" s="1"/>
  <c r="M8" i="2" s="1"/>
  <c r="J4" i="2"/>
  <c r="K4" i="2" s="1"/>
  <c r="L4" i="2" s="1"/>
  <c r="M4" i="2" s="1"/>
  <c r="J12" i="2"/>
  <c r="K12" i="2" s="1"/>
  <c r="L12" i="2" s="1"/>
  <c r="M12" i="2" s="1"/>
  <c r="J9" i="2"/>
  <c r="K9" i="2" s="1"/>
  <c r="L9" i="2" s="1"/>
  <c r="M9" i="2" s="1"/>
  <c r="J7" i="2"/>
  <c r="K7" i="2" s="1"/>
  <c r="L7" i="2" s="1"/>
  <c r="M7" i="2" s="1"/>
</calcChain>
</file>

<file path=xl/sharedStrings.xml><?xml version="1.0" encoding="utf-8"?>
<sst xmlns="http://schemas.openxmlformats.org/spreadsheetml/2006/main" count="78" uniqueCount="41">
  <si>
    <t>T/ K</t>
  </si>
  <si>
    <t>T / degrees C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</si>
  <si>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</t>
    </r>
  </si>
  <si>
    <r>
      <t>D</t>
    </r>
    <r>
      <rPr>
        <sz val="11"/>
        <color theme="1"/>
        <rFont val="Calibri"/>
        <family val="2"/>
        <scheme val="minor"/>
      </rPr>
      <t>f / Hz</t>
    </r>
  </si>
  <si>
    <t>f / Hz</t>
  </si>
  <si>
    <t>d / g cm-3</t>
  </si>
  <si>
    <t>v / cm3</t>
  </si>
  <si>
    <t>m / g cm-3</t>
  </si>
  <si>
    <r>
      <rPr>
        <sz val="11"/>
        <color theme="1"/>
        <rFont val="Symbol"/>
        <family val="1"/>
        <charset val="2"/>
      </rPr>
      <t>c</t>
    </r>
    <r>
      <rPr>
        <sz val="11"/>
        <color theme="1"/>
        <rFont val="Calibri"/>
        <family val="2"/>
        <scheme val="minor"/>
      </rPr>
      <t>0</t>
    </r>
  </si>
  <si>
    <r>
      <t>c</t>
    </r>
    <r>
      <rPr>
        <sz val="11"/>
        <color theme="1"/>
        <rFont val="Calibri"/>
        <family val="2"/>
        <scheme val="minor"/>
      </rPr>
      <t>g + co</t>
    </r>
  </si>
  <si>
    <r>
      <t>c</t>
    </r>
    <r>
      <rPr>
        <sz val="11"/>
        <color theme="1"/>
        <rFont val="Calibri"/>
        <family val="2"/>
        <scheme val="minor"/>
      </rPr>
      <t>m</t>
    </r>
  </si>
  <si>
    <t>cm corrected</t>
  </si>
  <si>
    <t>xmT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</si>
  <si>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f / ppm 2</t>
    </r>
  </si>
  <si>
    <t>D 1</t>
  </si>
  <si>
    <t>D 2</t>
  </si>
  <si>
    <t>T approx</t>
  </si>
  <si>
    <t>mass complex (g)</t>
  </si>
  <si>
    <t>d (temp exp)</t>
  </si>
  <si>
    <t>volumen (mL)</t>
  </si>
  <si>
    <t>mass solvent</t>
  </si>
  <si>
    <t>pagina mass susc acetonitrile:</t>
  </si>
  <si>
    <t>Temp</t>
  </si>
  <si>
    <t>Xo</t>
  </si>
  <si>
    <t>http://www.chimichi.it/facilities/nmr/acetnitr.html</t>
  </si>
  <si>
    <t>Diamagnetic complex corrections</t>
  </si>
  <si>
    <t>T/K</t>
  </si>
  <si>
    <t>1/T</t>
  </si>
  <si>
    <t>cmT</t>
  </si>
  <si>
    <t>%HS</t>
  </si>
  <si>
    <t>%LS</t>
  </si>
  <si>
    <t>Keq</t>
  </si>
  <si>
    <t>lnKeq</t>
  </si>
  <si>
    <t>slope</t>
  </si>
  <si>
    <t>intercept</t>
  </si>
  <si>
    <t>R</t>
  </si>
  <si>
    <t>J/molK</t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</si>
  <si>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H =</t>
    </r>
  </si>
  <si>
    <t>DS =</t>
  </si>
  <si>
    <t>uHS</t>
  </si>
  <si>
    <t>uLS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</si>
</sst>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MeCN!$A$2:$A$13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MeCN!$M$2:$M$13</c:f>
              <c:numCache>
                <c:formatCode>General</c:formatCode>
                <c:ptCount val="12"/>
                <c:pt idx="0">
                  <c:v>1.997810382885042</c:v>
                </c:pt>
                <c:pt idx="1">
                  <c:v>2.2372404564546078</c:v>
                </c:pt>
                <c:pt idx="2">
                  <c:v>2.560228338048165</c:v>
                </c:pt>
                <c:pt idx="3">
                  <c:v>2.7292418880883509</c:v>
                </c:pt>
                <c:pt idx="4">
                  <c:v>2.9119156360604843</c:v>
                </c:pt>
                <c:pt idx="5">
                  <c:v>3.0097090932803781</c:v>
                </c:pt>
                <c:pt idx="6">
                  <c:v>3.1581651047672605</c:v>
                </c:pt>
                <c:pt idx="7">
                  <c:v>3.053062030259535</c:v>
                </c:pt>
                <c:pt idx="8">
                  <c:v>3.254121500358524</c:v>
                </c:pt>
                <c:pt idx="9">
                  <c:v>3.3901347223796101</c:v>
                </c:pt>
                <c:pt idx="10">
                  <c:v>3.0934133054463175</c:v>
                </c:pt>
                <c:pt idx="11">
                  <c:v>3.0853613261510429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04-42A8-B53C-70878896A2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64160"/>
        <c:axId val="101165696"/>
      </c:scatterChart>
      <c:valAx>
        <c:axId val="101164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1165696"/>
        <c:crosses val="autoZero"/>
        <c:crossBetween val="midCat"/>
      </c:valAx>
      <c:valAx>
        <c:axId val="1011656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116416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6.0749653484325705E-2"/>
          <c:y val="6.9977089430755576E-2"/>
          <c:w val="0.90606269721902732"/>
          <c:h val="0.81794448680715337"/>
        </c:manualLayout>
      </c:layout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numFmt formatCode="General" sourceLinked="0"/>
            </c:trendlineLbl>
          </c:trendline>
          <c:xVal>
            <c:numRef>
              <c:f>MeCN!$X$2:$X$13</c:f>
              <c:numCache>
                <c:formatCode>General</c:formatCode>
                <c:ptCount val="12"/>
                <c:pt idx="0">
                  <c:v>4.2247570764681035E-3</c:v>
                </c:pt>
                <c:pt idx="1">
                  <c:v>4.1017227235438884E-3</c:v>
                </c:pt>
                <c:pt idx="2">
                  <c:v>3.9401103230890461E-3</c:v>
                </c:pt>
                <c:pt idx="3">
                  <c:v>3.7893141341417205E-3</c:v>
                </c:pt>
                <c:pt idx="4">
                  <c:v>3.6764705882352941E-3</c:v>
                </c:pt>
                <c:pt idx="5">
                  <c:v>3.5448422545196734E-3</c:v>
                </c:pt>
                <c:pt idx="6">
                  <c:v>3.4223134839151269E-3</c:v>
                </c:pt>
                <c:pt idx="8">
                  <c:v>3.2010243277848915E-3</c:v>
                </c:pt>
                <c:pt idx="9">
                  <c:v>3.1007751937984496E-3</c:v>
                </c:pt>
              </c:numCache>
            </c:numRef>
          </c:xVal>
          <c:yVal>
            <c:numRef>
              <c:f>MeCN!$AC$2:$AC$13</c:f>
              <c:numCache>
                <c:formatCode>General</c:formatCode>
                <c:ptCount val="12"/>
                <c:pt idx="0">
                  <c:v>0.28512798380199067</c:v>
                </c:pt>
                <c:pt idx="1">
                  <c:v>0.57194372723867171</c:v>
                </c:pt>
                <c:pt idx="2">
                  <c:v>1.0022147951073195</c:v>
                </c:pt>
                <c:pt idx="3">
                  <c:v>1.2644045615334727</c:v>
                </c:pt>
                <c:pt idx="4">
                  <c:v>1.599696024069301</c:v>
                </c:pt>
                <c:pt idx="5">
                  <c:v>1.8145998041965592</c:v>
                </c:pt>
                <c:pt idx="6">
                  <c:v>2.2234186168646333</c:v>
                </c:pt>
                <c:pt idx="8">
                  <c:v>2.5828401158269805</c:v>
                </c:pt>
                <c:pt idx="9">
                  <c:v>3.4293700744307807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AD-4DD2-9AD4-2A1026AAE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182848"/>
        <c:axId val="107295872"/>
      </c:scatterChart>
      <c:valAx>
        <c:axId val="10118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295872"/>
        <c:crosses val="autoZero"/>
        <c:crossBetween val="midCat"/>
      </c:valAx>
      <c:valAx>
        <c:axId val="1072958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11828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xVal>
            <c:numRef>
              <c:f>TMS!$A$2:$A$13</c:f>
              <c:numCache>
                <c:formatCode>General</c:formatCode>
                <c:ptCount val="12"/>
                <c:pt idx="0">
                  <c:v>236.7</c:v>
                </c:pt>
                <c:pt idx="1">
                  <c:v>243.8</c:v>
                </c:pt>
                <c:pt idx="2">
                  <c:v>253.8</c:v>
                </c:pt>
                <c:pt idx="3">
                  <c:v>263.89999999999998</c:v>
                </c:pt>
                <c:pt idx="4">
                  <c:v>272</c:v>
                </c:pt>
                <c:pt idx="5">
                  <c:v>282.10000000000002</c:v>
                </c:pt>
                <c:pt idx="6">
                  <c:v>292.2</c:v>
                </c:pt>
                <c:pt idx="7">
                  <c:v>302.3</c:v>
                </c:pt>
                <c:pt idx="8">
                  <c:v>312.39999999999998</c:v>
                </c:pt>
                <c:pt idx="9">
                  <c:v>322.5</c:v>
                </c:pt>
                <c:pt idx="10">
                  <c:v>332.6</c:v>
                </c:pt>
                <c:pt idx="11">
                  <c:v>342.7</c:v>
                </c:pt>
              </c:numCache>
            </c:numRef>
          </c:xVal>
          <c:yVal>
            <c:numRef>
              <c:f>TMS!$M$2:$M$13</c:f>
              <c:numCache>
                <c:formatCode>General</c:formatCode>
                <c:ptCount val="12"/>
                <c:pt idx="0">
                  <c:v>1.7445480849791626</c:v>
                </c:pt>
                <c:pt idx="1">
                  <c:v>2.0044095334632921</c:v>
                </c:pt>
                <c:pt idx="2">
                  <c:v>2.3254176036845378</c:v>
                </c:pt>
                <c:pt idx="3">
                  <c:v>2.5043752303886779</c:v>
                </c:pt>
                <c:pt idx="4">
                  <c:v>2.724532224873724</c:v>
                </c:pt>
                <c:pt idx="5">
                  <c:v>2.7635232360507946</c:v>
                </c:pt>
                <c:pt idx="6">
                  <c:v>2.9772377617641355</c:v>
                </c:pt>
                <c:pt idx="7">
                  <c:v>2.903963608426408</c:v>
                </c:pt>
                <c:pt idx="8">
                  <c:v>3.1120908610906319</c:v>
                </c:pt>
                <c:pt idx="9">
                  <c:v>3.1670829557784281</c:v>
                </c:pt>
                <c:pt idx="10">
                  <c:v>3.2645332323218934</c:v>
                </c:pt>
                <c:pt idx="11">
                  <c:v>3.3455632676669036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27-4CA7-A966-E2391EEDF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681664"/>
        <c:axId val="107683200"/>
      </c:scatterChart>
      <c:valAx>
        <c:axId val="10768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683200"/>
        <c:crosses val="autoZero"/>
        <c:crossBetween val="midCat"/>
      </c:valAx>
      <c:valAx>
        <c:axId val="1076832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76816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1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TMS!$X$2:$X$13</c:f>
              <c:numCache>
                <c:formatCode>General</c:formatCode>
                <c:ptCount val="12"/>
                <c:pt idx="0">
                  <c:v>4.2247570764681035E-3</c:v>
                </c:pt>
                <c:pt idx="1">
                  <c:v>4.1017227235438884E-3</c:v>
                </c:pt>
                <c:pt idx="2">
                  <c:v>3.9401103230890461E-3</c:v>
                </c:pt>
                <c:pt idx="3">
                  <c:v>3.7893141341417205E-3</c:v>
                </c:pt>
                <c:pt idx="4">
                  <c:v>3.6764705882352941E-3</c:v>
                </c:pt>
                <c:pt idx="5">
                  <c:v>3.5448422545196734E-3</c:v>
                </c:pt>
                <c:pt idx="6">
                  <c:v>3.4223134839151269E-3</c:v>
                </c:pt>
                <c:pt idx="8">
                  <c:v>3.2010243277848915E-3</c:v>
                </c:pt>
                <c:pt idx="9">
                  <c:v>3.1007751937984496E-3</c:v>
                </c:pt>
              </c:numCache>
            </c:numRef>
          </c:xVal>
          <c:yVal>
            <c:numRef>
              <c:f>TMS!$AC$2:$AC$13</c:f>
              <c:numCache>
                <c:formatCode>General</c:formatCode>
                <c:ptCount val="12"/>
                <c:pt idx="0">
                  <c:v>4.9441352409174556E-2</c:v>
                </c:pt>
                <c:pt idx="1">
                  <c:v>0.29282843059973218</c:v>
                </c:pt>
                <c:pt idx="2">
                  <c:v>0.68298696036569062</c:v>
                </c:pt>
                <c:pt idx="3">
                  <c:v>0.92242412412165675</c:v>
                </c:pt>
                <c:pt idx="4">
                  <c:v>1.2565856036853664</c:v>
                </c:pt>
                <c:pt idx="5">
                  <c:v>1.3223839933176371</c:v>
                </c:pt>
                <c:pt idx="6">
                  <c:v>1.7396244747616447</c:v>
                </c:pt>
                <c:pt idx="8">
                  <c:v>2.082278947749947</c:v>
                </c:pt>
                <c:pt idx="9">
                  <c:v>2.2526728975059043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52-4521-829F-1A8657821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52288"/>
        <c:axId val="109053824"/>
      </c:scatterChart>
      <c:valAx>
        <c:axId val="10905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9053824"/>
        <c:crosses val="autoZero"/>
        <c:crossBetween val="midCat"/>
      </c:valAx>
      <c:valAx>
        <c:axId val="1090538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090522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85725</xdr:colOff>
      <xdr:row>19</xdr:row>
      <xdr:rowOff>133350</xdr:rowOff>
    </xdr:from>
    <xdr:to>
      <xdr:col>12</xdr:col>
      <xdr:colOff>1076325</xdr:colOff>
      <xdr:row>34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152400</xdr:colOff>
      <xdr:row>30</xdr:row>
      <xdr:rowOff>66675</xdr:rowOff>
    </xdr:from>
    <xdr:to>
      <xdr:col>25</xdr:col>
      <xdr:colOff>247649</xdr:colOff>
      <xdr:row>46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14</xdr:row>
      <xdr:rowOff>28575</xdr:rowOff>
    </xdr:from>
    <xdr:to>
      <xdr:col>12</xdr:col>
      <xdr:colOff>219075</xdr:colOff>
      <xdr:row>28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85725</xdr:colOff>
      <xdr:row>13</xdr:row>
      <xdr:rowOff>38100</xdr:rowOff>
    </xdr:from>
    <xdr:to>
      <xdr:col>22</xdr:col>
      <xdr:colOff>523875</xdr:colOff>
      <xdr:row>32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topLeftCell="N1" workbookViewId="0">
      <selection activeCell="AB23" sqref="AB23"/>
    </sheetView>
  </sheetViews>
  <sheetFormatPr defaultRowHeight="15" x14ac:dyDescent="0.25"/>
  <cols>
    <col min="1" max="1" width="11.42578125" customWidth="1"/>
    <col min="2" max="3" width="14" customWidth="1"/>
    <col min="4" max="4" width="15.7109375" customWidth="1"/>
    <col min="5" max="5" width="20.5703125" customWidth="1"/>
    <col min="6" max="6" width="35" customWidth="1"/>
    <col min="7" max="7" width="17.28515625" customWidth="1"/>
    <col min="8" max="8" width="13.7109375" customWidth="1"/>
    <col min="9" max="9" width="15" customWidth="1"/>
    <col min="10" max="10" width="16.5703125" customWidth="1"/>
    <col min="11" max="11" width="17.5703125" customWidth="1"/>
    <col min="12" max="12" width="20" customWidth="1"/>
    <col min="13" max="13" width="16.7109375" customWidth="1"/>
    <col min="17" max="17" width="17.42578125" customWidth="1"/>
    <col min="24" max="24" width="12" customWidth="1"/>
    <col min="25" max="26" width="11" customWidth="1"/>
  </cols>
  <sheetData>
    <row r="1" spans="1:29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2" t="s">
        <v>11</v>
      </c>
      <c r="M1" t="s">
        <v>12</v>
      </c>
      <c r="Q1" t="s">
        <v>13</v>
      </c>
      <c r="R1" s="1" t="s">
        <v>14</v>
      </c>
      <c r="S1" s="1" t="s">
        <v>15</v>
      </c>
      <c r="W1" t="s">
        <v>26</v>
      </c>
      <c r="X1" t="s">
        <v>27</v>
      </c>
      <c r="Y1" t="s">
        <v>28</v>
      </c>
      <c r="Z1" t="s">
        <v>29</v>
      </c>
      <c r="AA1" t="s">
        <v>30</v>
      </c>
      <c r="AB1" t="s">
        <v>31</v>
      </c>
      <c r="AC1" t="s">
        <v>32</v>
      </c>
    </row>
    <row r="2" spans="1:29" x14ac:dyDescent="0.25">
      <c r="A2">
        <v>236.7</v>
      </c>
      <c r="B2">
        <f>A2-273.15</f>
        <v>-36.449999999999989</v>
      </c>
      <c r="C2">
        <v>0.20599999999999999</v>
      </c>
      <c r="D2">
        <f>500.5700125*C2</f>
        <v>103.11742257499999</v>
      </c>
      <c r="E2">
        <v>500570012.5</v>
      </c>
      <c r="F2">
        <f>0.80307-0.0010542*B2</f>
        <v>0.84149558999999996</v>
      </c>
      <c r="G2">
        <f>$D$22/F2</f>
        <v>0.46338781169370119</v>
      </c>
      <c r="H2">
        <f>$E$21/G2</f>
        <v>4.3160392861649058E-3</v>
      </c>
      <c r="I2">
        <f>$G$29*(1/F2)</f>
        <v>-6.2270082722596332E-7</v>
      </c>
      <c r="J2">
        <f>((3*D2)/(4*PI()*E2*H2))+I2</f>
        <v>1.0771745366310527E-5</v>
      </c>
      <c r="K2">
        <f>J2*744</f>
        <v>8.0141785525350319E-3</v>
      </c>
      <c r="L2">
        <f>K2-$G$31</f>
        <v>8.4402635525350315E-3</v>
      </c>
      <c r="M2">
        <f>L2*A2</f>
        <v>1.997810382885042</v>
      </c>
      <c r="Q2">
        <v>0.185</v>
      </c>
      <c r="R2">
        <f t="shared" ref="R2:R12" si="0">C2-C3</f>
        <v>-1.6000000000000014E-2</v>
      </c>
      <c r="S2">
        <f>Q2-Q3</f>
        <v>-1.4000000000000012E-2</v>
      </c>
      <c r="W2">
        <v>236.7</v>
      </c>
      <c r="X2">
        <f>1/W2</f>
        <v>4.2247570764681035E-3</v>
      </c>
      <c r="Y2">
        <v>1.997810382885042</v>
      </c>
      <c r="Z2">
        <f>Y2/3.5</f>
        <v>0.57080296653858342</v>
      </c>
      <c r="AA2">
        <f>1-Z2</f>
        <v>0.42919703346141658</v>
      </c>
      <c r="AB2">
        <f>Z2/AA2</f>
        <v>1.3299322270126939</v>
      </c>
      <c r="AC2">
        <f>LN(AB2)</f>
        <v>0.28512798380199067</v>
      </c>
    </row>
    <row r="3" spans="1:29" x14ac:dyDescent="0.25">
      <c r="A3">
        <v>243.8</v>
      </c>
      <c r="B3">
        <f t="shared" ref="B3:B13" si="1">A3-273.15</f>
        <v>-29.349999999999966</v>
      </c>
      <c r="C3">
        <v>0.222</v>
      </c>
      <c r="D3">
        <f t="shared" ref="D3:D13" si="2">500.5700125*C3</f>
        <v>111.126542775</v>
      </c>
      <c r="E3">
        <v>500570012.5</v>
      </c>
      <c r="F3">
        <f t="shared" ref="F3:F13" si="3">0.80307-0.0010542*B3</f>
        <v>0.8340107699999999</v>
      </c>
      <c r="G3">
        <f t="shared" ref="G3:G13" si="4">$D$22/F3</f>
        <v>0.46754648024509327</v>
      </c>
      <c r="H3">
        <f t="shared" ref="H3:H13" si="5">$E$21/G3</f>
        <v>4.2776495696247715E-3</v>
      </c>
      <c r="I3">
        <f t="shared" ref="I3:I13" si="6">$G$29*(1/F3)</f>
        <v>-6.2828924859087859E-7</v>
      </c>
      <c r="J3">
        <f t="shared" ref="J3:J13" si="7">((3*D3)/(4*PI()*E3*H3))+I3</f>
        <v>1.1761364271870383E-5</v>
      </c>
      <c r="K3">
        <f t="shared" ref="K3:K13" si="8">J3*744</f>
        <v>8.7504550182715655E-3</v>
      </c>
      <c r="L3">
        <f t="shared" ref="L3:L13" si="9">K3-$G$31</f>
        <v>9.1765400182715652E-3</v>
      </c>
      <c r="M3">
        <f t="shared" ref="M3:M13" si="10">L3*A3</f>
        <v>2.2372404564546078</v>
      </c>
      <c r="Q3">
        <v>0.19900000000000001</v>
      </c>
      <c r="R3">
        <f t="shared" si="0"/>
        <v>-1.8999999999999989E-2</v>
      </c>
      <c r="S3">
        <f t="shared" ref="S3:S12" si="11">Q3-Q4</f>
        <v>-1.999999999999999E-2</v>
      </c>
      <c r="W3">
        <v>243.8</v>
      </c>
      <c r="X3">
        <f t="shared" ref="X3:X11" si="12">1/W3</f>
        <v>4.1017227235438884E-3</v>
      </c>
      <c r="Y3">
        <v>2.2372404564546078</v>
      </c>
      <c r="Z3">
        <f t="shared" ref="Z3:Z11" si="13">Y3/3.5</f>
        <v>0.63921155898703075</v>
      </c>
      <c r="AA3">
        <f t="shared" ref="AA3:AA11" si="14">1-Z3</f>
        <v>0.36078844101296925</v>
      </c>
      <c r="AB3">
        <f t="shared" ref="AB3:AB11" si="15">Z3/AA3</f>
        <v>1.7717074227554119</v>
      </c>
      <c r="AC3">
        <f t="shared" ref="AC3:AC11" si="16">LN(AB3)</f>
        <v>0.57194372723867171</v>
      </c>
    </row>
    <row r="4" spans="1:29" x14ac:dyDescent="0.25">
      <c r="A4">
        <v>253.8</v>
      </c>
      <c r="B4">
        <f t="shared" si="1"/>
        <v>-19.349999999999966</v>
      </c>
      <c r="C4">
        <v>0.24099999999999999</v>
      </c>
      <c r="D4">
        <f t="shared" si="2"/>
        <v>120.63737301250001</v>
      </c>
      <c r="E4">
        <v>500570012.5</v>
      </c>
      <c r="F4">
        <f t="shared" si="3"/>
        <v>0.82346876999999996</v>
      </c>
      <c r="G4">
        <f t="shared" si="4"/>
        <v>0.47353198348979281</v>
      </c>
      <c r="H4">
        <f t="shared" si="5"/>
        <v>4.2235795463288085E-3</v>
      </c>
      <c r="I4">
        <f t="shared" si="6"/>
        <v>-6.3633257154366645E-7</v>
      </c>
      <c r="J4">
        <f t="shared" si="7"/>
        <v>1.2985883204581571E-5</v>
      </c>
      <c r="K4">
        <f t="shared" si="8"/>
        <v>9.6614971042086883E-3</v>
      </c>
      <c r="L4">
        <f t="shared" si="9"/>
        <v>1.0087582104208688E-2</v>
      </c>
      <c r="M4">
        <f t="shared" si="10"/>
        <v>2.560228338048165</v>
      </c>
      <c r="Q4">
        <v>0.219</v>
      </c>
      <c r="R4">
        <f t="shared" si="0"/>
        <v>-3.0000000000000027E-3</v>
      </c>
      <c r="S4">
        <f t="shared" si="11"/>
        <v>-5.0000000000000044E-3</v>
      </c>
      <c r="W4">
        <v>253.8</v>
      </c>
      <c r="X4">
        <f t="shared" si="12"/>
        <v>3.9401103230890461E-3</v>
      </c>
      <c r="Y4">
        <v>2.560228338048165</v>
      </c>
      <c r="Z4">
        <f t="shared" si="13"/>
        <v>0.73149381087090426</v>
      </c>
      <c r="AA4">
        <f t="shared" si="14"/>
        <v>0.26850618912909574</v>
      </c>
      <c r="AB4">
        <f t="shared" si="15"/>
        <v>2.7243089376953153</v>
      </c>
      <c r="AC4">
        <f t="shared" si="16"/>
        <v>1.0022147951073195</v>
      </c>
    </row>
    <row r="5" spans="1:29" x14ac:dyDescent="0.25">
      <c r="A5">
        <v>263.89999999999998</v>
      </c>
      <c r="B5">
        <f t="shared" si="1"/>
        <v>-9.25</v>
      </c>
      <c r="C5">
        <v>0.24399999999999999</v>
      </c>
      <c r="D5">
        <f t="shared" si="2"/>
        <v>122.13908305</v>
      </c>
      <c r="E5">
        <v>500570012.5</v>
      </c>
      <c r="F5">
        <f t="shared" si="3"/>
        <v>0.81282135</v>
      </c>
      <c r="G5">
        <f t="shared" si="4"/>
        <v>0.4797349380648035</v>
      </c>
      <c r="H5">
        <f t="shared" si="5"/>
        <v>4.1689688227998858E-3</v>
      </c>
      <c r="I5">
        <f t="shared" si="6"/>
        <v>-6.4466810572827593E-7</v>
      </c>
      <c r="J5">
        <f t="shared" si="7"/>
        <v>1.3327782072614011E-5</v>
      </c>
      <c r="K5">
        <f t="shared" si="8"/>
        <v>9.9158698620248238E-3</v>
      </c>
      <c r="L5">
        <f t="shared" si="9"/>
        <v>1.0341954862024823E-2</v>
      </c>
      <c r="M5">
        <f t="shared" si="10"/>
        <v>2.7292418880883509</v>
      </c>
      <c r="Q5">
        <v>0.224</v>
      </c>
      <c r="R5">
        <f t="shared" si="0"/>
        <v>-6.0000000000000053E-3</v>
      </c>
      <c r="S5">
        <f t="shared" si="11"/>
        <v>-1.0000000000000009E-2</v>
      </c>
      <c r="W5">
        <v>263.89999999999998</v>
      </c>
      <c r="X5">
        <f t="shared" si="12"/>
        <v>3.7893141341417205E-3</v>
      </c>
      <c r="Y5">
        <v>2.7292418880883509</v>
      </c>
      <c r="Z5">
        <f t="shared" si="13"/>
        <v>0.77978339659667173</v>
      </c>
      <c r="AA5">
        <f t="shared" si="14"/>
        <v>0.22021660340332827</v>
      </c>
      <c r="AB5">
        <f t="shared" si="15"/>
        <v>3.5409836703751756</v>
      </c>
      <c r="AC5">
        <f t="shared" si="16"/>
        <v>1.2644045615334727</v>
      </c>
    </row>
    <row r="6" spans="1:29" x14ac:dyDescent="0.25">
      <c r="A6">
        <v>272</v>
      </c>
      <c r="B6">
        <f t="shared" si="1"/>
        <v>-1.1499999999999773</v>
      </c>
      <c r="C6">
        <v>0.25</v>
      </c>
      <c r="D6">
        <f t="shared" si="2"/>
        <v>125.142503125</v>
      </c>
      <c r="E6">
        <v>500570012.5</v>
      </c>
      <c r="F6">
        <f t="shared" si="3"/>
        <v>0.80428232999999993</v>
      </c>
      <c r="G6">
        <f t="shared" si="4"/>
        <v>0.4848282567640147</v>
      </c>
      <c r="H6">
        <f t="shared" si="5"/>
        <v>4.1251721039301551E-3</v>
      </c>
      <c r="I6">
        <f t="shared" si="6"/>
        <v>-6.5151251053843247E-7</v>
      </c>
      <c r="J6">
        <f t="shared" si="7"/>
        <v>1.3816515042202741E-5</v>
      </c>
      <c r="K6">
        <f t="shared" si="8"/>
        <v>1.027948719139884E-2</v>
      </c>
      <c r="L6">
        <f t="shared" si="9"/>
        <v>1.0705572191398839E-2</v>
      </c>
      <c r="M6">
        <f t="shared" si="10"/>
        <v>2.9119156360604843</v>
      </c>
      <c r="Q6">
        <v>0.23400000000000001</v>
      </c>
      <c r="R6">
        <f t="shared" si="0"/>
        <v>4.0000000000000036E-3</v>
      </c>
      <c r="S6">
        <f t="shared" si="11"/>
        <v>8.0000000000000071E-3</v>
      </c>
      <c r="W6">
        <v>272</v>
      </c>
      <c r="X6">
        <f t="shared" si="12"/>
        <v>3.6764705882352941E-3</v>
      </c>
      <c r="Y6">
        <v>2.9119156360604843</v>
      </c>
      <c r="Z6">
        <f t="shared" si="13"/>
        <v>0.83197589601728128</v>
      </c>
      <c r="AA6">
        <f t="shared" si="14"/>
        <v>0.16802410398271872</v>
      </c>
      <c r="AB6">
        <f t="shared" si="15"/>
        <v>4.9515270505644242</v>
      </c>
      <c r="AC6">
        <f t="shared" si="16"/>
        <v>1.599696024069301</v>
      </c>
    </row>
    <row r="7" spans="1:29" x14ac:dyDescent="0.25">
      <c r="A7">
        <v>282.10000000000002</v>
      </c>
      <c r="B7">
        <f t="shared" si="1"/>
        <v>8.9500000000000455</v>
      </c>
      <c r="C7">
        <v>0.246</v>
      </c>
      <c r="D7">
        <f t="shared" si="2"/>
        <v>123.14022307500001</v>
      </c>
      <c r="E7">
        <v>500570012.5</v>
      </c>
      <c r="F7">
        <f t="shared" si="3"/>
        <v>0.79363490999999986</v>
      </c>
      <c r="G7">
        <f t="shared" si="4"/>
        <v>0.49133272123828331</v>
      </c>
      <c r="H7">
        <f t="shared" si="5"/>
        <v>4.0705613804012317E-3</v>
      </c>
      <c r="I7">
        <f t="shared" si="6"/>
        <v>-6.6025321391167136E-7</v>
      </c>
      <c r="J7">
        <f t="shared" si="7"/>
        <v>1.3767283558699433E-5</v>
      </c>
      <c r="K7">
        <f t="shared" si="8"/>
        <v>1.0242858967672379E-2</v>
      </c>
      <c r="L7">
        <f t="shared" si="9"/>
        <v>1.0668943967672378E-2</v>
      </c>
      <c r="M7">
        <f t="shared" si="10"/>
        <v>3.0097090932803781</v>
      </c>
      <c r="Q7">
        <v>0.22600000000000001</v>
      </c>
      <c r="R7">
        <f t="shared" si="0"/>
        <v>0</v>
      </c>
      <c r="S7">
        <f t="shared" si="11"/>
        <v>-6.0000000000000053E-3</v>
      </c>
      <c r="W7">
        <v>282.10000000000002</v>
      </c>
      <c r="X7">
        <f t="shared" si="12"/>
        <v>3.5448422545196734E-3</v>
      </c>
      <c r="Y7">
        <v>3.0097090932803781</v>
      </c>
      <c r="Z7">
        <f t="shared" si="13"/>
        <v>0.85991688379439368</v>
      </c>
      <c r="AA7">
        <f t="shared" si="14"/>
        <v>0.14008311620560632</v>
      </c>
      <c r="AB7">
        <f t="shared" si="15"/>
        <v>6.1386190362317103</v>
      </c>
      <c r="AC7">
        <f t="shared" si="16"/>
        <v>1.8145998041965592</v>
      </c>
    </row>
    <row r="8" spans="1:29" x14ac:dyDescent="0.25">
      <c r="A8">
        <v>292.2</v>
      </c>
      <c r="B8">
        <f t="shared" si="1"/>
        <v>19.050000000000011</v>
      </c>
      <c r="C8">
        <v>0.246</v>
      </c>
      <c r="D8">
        <f t="shared" si="2"/>
        <v>123.14022307500001</v>
      </c>
      <c r="E8">
        <v>500570012.5</v>
      </c>
      <c r="F8">
        <f t="shared" si="3"/>
        <v>0.7829874899999999</v>
      </c>
      <c r="G8">
        <f t="shared" si="4"/>
        <v>0.49801408704499228</v>
      </c>
      <c r="H8">
        <f t="shared" si="5"/>
        <v>4.0159506568723091E-3</v>
      </c>
      <c r="I8">
        <f t="shared" si="6"/>
        <v>-6.6923163740457721E-7</v>
      </c>
      <c r="J8">
        <f t="shared" si="7"/>
        <v>1.3954497342036593E-5</v>
      </c>
      <c r="K8">
        <f t="shared" si="8"/>
        <v>1.0382146022475225E-2</v>
      </c>
      <c r="L8">
        <f t="shared" si="9"/>
        <v>1.0808231022475225E-2</v>
      </c>
      <c r="M8">
        <f t="shared" si="10"/>
        <v>3.1581651047672605</v>
      </c>
      <c r="Q8">
        <v>0.23200000000000001</v>
      </c>
      <c r="R8">
        <f t="shared" si="0"/>
        <v>1.8999999999999989E-2</v>
      </c>
      <c r="S8">
        <f t="shared" si="11"/>
        <v>1.6000000000000014E-2</v>
      </c>
      <c r="W8">
        <v>292.2</v>
      </c>
      <c r="X8">
        <f t="shared" si="12"/>
        <v>3.4223134839151269E-3</v>
      </c>
      <c r="Y8">
        <v>3.1581651047672605</v>
      </c>
      <c r="Z8">
        <f t="shared" si="13"/>
        <v>0.90233288707636017</v>
      </c>
      <c r="AA8">
        <f t="shared" si="14"/>
        <v>9.7667112923639832E-2</v>
      </c>
      <c r="AB8">
        <f t="shared" si="15"/>
        <v>9.2388610665889264</v>
      </c>
      <c r="AC8">
        <f t="shared" si="16"/>
        <v>2.2234186168646333</v>
      </c>
    </row>
    <row r="9" spans="1:29" x14ac:dyDescent="0.25">
      <c r="A9">
        <v>302.3</v>
      </c>
      <c r="B9">
        <f t="shared" si="1"/>
        <v>29.150000000000034</v>
      </c>
      <c r="C9">
        <v>0.22700000000000001</v>
      </c>
      <c r="D9">
        <f t="shared" si="2"/>
        <v>113.62939283750001</v>
      </c>
      <c r="E9">
        <v>500570012.5</v>
      </c>
      <c r="F9">
        <f t="shared" si="3"/>
        <v>0.77234006999999993</v>
      </c>
      <c r="G9">
        <f t="shared" si="4"/>
        <v>0.50487967042807969</v>
      </c>
      <c r="H9">
        <f t="shared" si="5"/>
        <v>3.9613399333433864E-3</v>
      </c>
      <c r="I9">
        <f t="shared" si="6"/>
        <v>-6.7845761259026742E-7</v>
      </c>
      <c r="J9">
        <f t="shared" si="7"/>
        <v>1.3001827097803644E-5</v>
      </c>
      <c r="K9">
        <f t="shared" si="8"/>
        <v>9.6733593607659114E-3</v>
      </c>
      <c r="L9">
        <f t="shared" si="9"/>
        <v>1.0099444360765911E-2</v>
      </c>
      <c r="M9">
        <f t="shared" si="10"/>
        <v>3.053062030259535</v>
      </c>
      <c r="Q9">
        <v>0.216</v>
      </c>
      <c r="R9">
        <f t="shared" si="0"/>
        <v>-4.0000000000000036E-3</v>
      </c>
      <c r="S9">
        <f t="shared" si="11"/>
        <v>-5.0000000000000044E-3</v>
      </c>
    </row>
    <row r="10" spans="1:29" x14ac:dyDescent="0.25">
      <c r="A10">
        <v>312.39999999999998</v>
      </c>
      <c r="B10">
        <f t="shared" si="1"/>
        <v>39.25</v>
      </c>
      <c r="C10">
        <v>0.23100000000000001</v>
      </c>
      <c r="D10">
        <f t="shared" si="2"/>
        <v>115.63167288750002</v>
      </c>
      <c r="E10">
        <v>500570012.5</v>
      </c>
      <c r="F10">
        <f t="shared" si="3"/>
        <v>0.76169264999999997</v>
      </c>
      <c r="G10">
        <f t="shared" si="4"/>
        <v>0.51193719671576188</v>
      </c>
      <c r="H10">
        <f t="shared" si="5"/>
        <v>3.9067292098144638E-3</v>
      </c>
      <c r="I10">
        <f t="shared" si="6"/>
        <v>-6.8794152076956497E-7</v>
      </c>
      <c r="J10">
        <f t="shared" si="7"/>
        <v>1.3428006838999338E-5</v>
      </c>
      <c r="K10">
        <f t="shared" si="8"/>
        <v>9.9904370882155074E-3</v>
      </c>
      <c r="L10">
        <f t="shared" si="9"/>
        <v>1.0416522088215507E-2</v>
      </c>
      <c r="M10">
        <f t="shared" si="10"/>
        <v>3.254121500358524</v>
      </c>
      <c r="Q10">
        <v>0.221</v>
      </c>
      <c r="R10">
        <f t="shared" si="0"/>
        <v>1.0000000000000009E-3</v>
      </c>
      <c r="S10">
        <f t="shared" si="11"/>
        <v>6.0000000000000053E-3</v>
      </c>
      <c r="W10">
        <v>312.39999999999998</v>
      </c>
      <c r="X10">
        <f t="shared" si="12"/>
        <v>3.2010243277848915E-3</v>
      </c>
      <c r="Y10">
        <v>3.254121500358524</v>
      </c>
      <c r="Z10">
        <f t="shared" si="13"/>
        <v>0.92974900010243544</v>
      </c>
      <c r="AA10">
        <f t="shared" si="14"/>
        <v>7.0250999897564559E-2</v>
      </c>
      <c r="AB10">
        <f t="shared" si="15"/>
        <v>13.234672836801398</v>
      </c>
      <c r="AC10">
        <f t="shared" si="16"/>
        <v>2.5828401158269805</v>
      </c>
    </row>
    <row r="11" spans="1:29" x14ac:dyDescent="0.25">
      <c r="A11">
        <v>322.5</v>
      </c>
      <c r="B11">
        <f t="shared" si="1"/>
        <v>49.350000000000023</v>
      </c>
      <c r="C11">
        <v>0.23</v>
      </c>
      <c r="D11">
        <f t="shared" si="2"/>
        <v>115.13110287500001</v>
      </c>
      <c r="E11">
        <v>500570012.5</v>
      </c>
      <c r="F11">
        <f t="shared" si="3"/>
        <v>0.7510452299999999</v>
      </c>
      <c r="G11">
        <f t="shared" si="4"/>
        <v>0.51919482931806915</v>
      </c>
      <c r="H11">
        <f t="shared" si="5"/>
        <v>3.8521184862855403E-3</v>
      </c>
      <c r="I11">
        <f t="shared" si="6"/>
        <v>-6.9769433193790485E-7</v>
      </c>
      <c r="J11">
        <f t="shared" si="7"/>
        <v>1.3556398724179421E-5</v>
      </c>
      <c r="K11">
        <f t="shared" si="8"/>
        <v>1.008596065078949E-2</v>
      </c>
      <c r="L11">
        <f t="shared" si="9"/>
        <v>1.0512045650789489E-2</v>
      </c>
      <c r="M11">
        <f t="shared" si="10"/>
        <v>3.3901347223796101</v>
      </c>
      <c r="Q11">
        <v>0.215</v>
      </c>
      <c r="R11">
        <f t="shared" si="0"/>
        <v>2.8999999999999998E-2</v>
      </c>
      <c r="S11">
        <f t="shared" si="11"/>
        <v>1.999999999999999E-2</v>
      </c>
      <c r="W11">
        <v>322.5</v>
      </c>
      <c r="X11">
        <f t="shared" si="12"/>
        <v>3.1007751937984496E-3</v>
      </c>
      <c r="Y11">
        <v>3.3901347223796101</v>
      </c>
      <c r="Z11">
        <f t="shared" si="13"/>
        <v>0.9686099206798886</v>
      </c>
      <c r="AA11">
        <f t="shared" si="14"/>
        <v>3.1390079320111397E-2</v>
      </c>
      <c r="AB11">
        <f t="shared" si="15"/>
        <v>30.857198887653247</v>
      </c>
      <c r="AC11">
        <f t="shared" si="16"/>
        <v>3.4293700744307807</v>
      </c>
    </row>
    <row r="12" spans="1:29" x14ac:dyDescent="0.25">
      <c r="A12">
        <v>332.6</v>
      </c>
      <c r="B12">
        <f t="shared" si="1"/>
        <v>59.450000000000045</v>
      </c>
      <c r="C12">
        <v>0.20100000000000001</v>
      </c>
      <c r="D12">
        <f t="shared" si="2"/>
        <v>100.6145725125</v>
      </c>
      <c r="E12">
        <v>500570012.5</v>
      </c>
      <c r="F12">
        <f t="shared" si="3"/>
        <v>0.74039780999999993</v>
      </c>
      <c r="G12">
        <f t="shared" si="4"/>
        <v>0.52666120122640558</v>
      </c>
      <c r="H12">
        <f t="shared" si="5"/>
        <v>3.7975077627566173E-3</v>
      </c>
      <c r="I12">
        <f t="shared" si="6"/>
        <v>-7.077276471144614E-7</v>
      </c>
      <c r="J12">
        <f t="shared" si="7"/>
        <v>1.1928247929502637E-5</v>
      </c>
      <c r="K12">
        <f t="shared" si="8"/>
        <v>8.8746164595499624E-3</v>
      </c>
      <c r="L12">
        <f t="shared" si="9"/>
        <v>9.3007014595499621E-3</v>
      </c>
      <c r="M12">
        <f t="shared" si="10"/>
        <v>3.0934133054463175</v>
      </c>
      <c r="Q12">
        <v>0.19500000000000001</v>
      </c>
      <c r="R12">
        <f t="shared" si="0"/>
        <v>9.000000000000008E-3</v>
      </c>
      <c r="S12">
        <f t="shared" si="11"/>
        <v>1.0000000000000009E-2</v>
      </c>
    </row>
    <row r="13" spans="1:29" x14ac:dyDescent="0.25">
      <c r="A13">
        <v>342.7</v>
      </c>
      <c r="B13">
        <f t="shared" si="1"/>
        <v>69.550000000000011</v>
      </c>
      <c r="C13">
        <v>0.192</v>
      </c>
      <c r="D13">
        <f t="shared" si="2"/>
        <v>96.109442400000006</v>
      </c>
      <c r="E13">
        <v>500570012.5</v>
      </c>
      <c r="F13">
        <f t="shared" si="3"/>
        <v>0.72975038999999997</v>
      </c>
      <c r="G13">
        <f t="shared" si="4"/>
        <v>0.53434544927067462</v>
      </c>
      <c r="H13">
        <f t="shared" si="5"/>
        <v>3.7428970392276942E-3</v>
      </c>
      <c r="I13">
        <f t="shared" si="6"/>
        <v>-7.1805374437689576E-7</v>
      </c>
      <c r="J13">
        <f t="shared" si="7"/>
        <v>1.1528241873715699E-5</v>
      </c>
      <c r="K13">
        <f t="shared" si="8"/>
        <v>8.5770119540444795E-3</v>
      </c>
      <c r="L13">
        <f t="shared" si="9"/>
        <v>9.0030969540444792E-3</v>
      </c>
      <c r="M13">
        <f t="shared" si="10"/>
        <v>3.0853613261510429</v>
      </c>
      <c r="Q13">
        <v>0.185</v>
      </c>
    </row>
    <row r="20" spans="2:28" x14ac:dyDescent="0.25">
      <c r="D20" t="s">
        <v>16</v>
      </c>
      <c r="E20" t="s">
        <v>17</v>
      </c>
      <c r="F20" t="s">
        <v>18</v>
      </c>
    </row>
    <row r="21" spans="2:28" x14ac:dyDescent="0.25">
      <c r="C21" t="s">
        <v>19</v>
      </c>
      <c r="D21">
        <v>22</v>
      </c>
      <c r="E21">
        <v>2E-3</v>
      </c>
      <c r="F21">
        <f>0.80307-0.0010542*D21</f>
        <v>0.77987759999999995</v>
      </c>
      <c r="X21" t="s">
        <v>33</v>
      </c>
      <c r="Y21">
        <v>-2542.8000000000002</v>
      </c>
    </row>
    <row r="22" spans="2:28" x14ac:dyDescent="0.25">
      <c r="C22">
        <v>0.5</v>
      </c>
      <c r="D22">
        <f>C22*F21</f>
        <v>0.38993879999999997</v>
      </c>
      <c r="X22" t="s">
        <v>34</v>
      </c>
      <c r="Y22">
        <v>10.965999999999999</v>
      </c>
    </row>
    <row r="23" spans="2:28" x14ac:dyDescent="0.25">
      <c r="D23" t="s">
        <v>20</v>
      </c>
      <c r="W23" t="s">
        <v>36</v>
      </c>
      <c r="X23" t="s">
        <v>35</v>
      </c>
      <c r="Y23">
        <v>8.3144600000000004</v>
      </c>
    </row>
    <row r="25" spans="2:28" x14ac:dyDescent="0.25">
      <c r="X25" t="s">
        <v>37</v>
      </c>
      <c r="Y25">
        <f>Y21*Y23</f>
        <v>-21142.008888000004</v>
      </c>
    </row>
    <row r="26" spans="2:28" x14ac:dyDescent="0.25">
      <c r="X26" t="s">
        <v>38</v>
      </c>
      <c r="Y26">
        <f>Y22*Y23</f>
        <v>91.176368359999998</v>
      </c>
      <c r="AA26">
        <v>231.8</v>
      </c>
      <c r="AB26">
        <v>1.75</v>
      </c>
    </row>
    <row r="28" spans="2:28" x14ac:dyDescent="0.25">
      <c r="B28" t="s">
        <v>21</v>
      </c>
      <c r="F28" t="s">
        <v>22</v>
      </c>
      <c r="G28" t="s">
        <v>23</v>
      </c>
    </row>
    <row r="29" spans="2:28" x14ac:dyDescent="0.25">
      <c r="B29" t="s">
        <v>24</v>
      </c>
      <c r="F29">
        <v>20</v>
      </c>
      <c r="G29">
        <f>-5.24*10^-7</f>
        <v>-5.2399999999999998E-7</v>
      </c>
    </row>
    <row r="31" spans="2:28" x14ac:dyDescent="0.25">
      <c r="F31" s="3" t="s">
        <v>25</v>
      </c>
      <c r="G31">
        <f>-852.17/2000000</f>
        <v>-4.2608499999999998E-4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"/>
  <sheetViews>
    <sheetView tabSelected="1" topLeftCell="G1" workbookViewId="0">
      <selection activeCell="M2" sqref="M2"/>
    </sheetView>
  </sheetViews>
  <sheetFormatPr defaultRowHeight="15" x14ac:dyDescent="0.25"/>
  <cols>
    <col min="1" max="1" width="11.42578125" customWidth="1"/>
    <col min="2" max="3" width="14" customWidth="1"/>
    <col min="4" max="4" width="15.7109375" customWidth="1"/>
    <col min="5" max="5" width="20.5703125" customWidth="1"/>
    <col min="6" max="6" width="35" customWidth="1"/>
    <col min="7" max="7" width="17.28515625" customWidth="1"/>
    <col min="8" max="8" width="13.7109375" customWidth="1"/>
    <col min="9" max="9" width="15" customWidth="1"/>
    <col min="10" max="10" width="16.5703125" customWidth="1"/>
    <col min="11" max="11" width="17.5703125" customWidth="1"/>
    <col min="12" max="12" width="20" customWidth="1"/>
    <col min="13" max="13" width="16.7109375" customWidth="1"/>
    <col min="17" max="17" width="17.42578125" customWidth="1"/>
  </cols>
  <sheetData>
    <row r="1" spans="1:29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2" t="s">
        <v>11</v>
      </c>
      <c r="M1" t="s">
        <v>12</v>
      </c>
      <c r="Q1" t="s">
        <v>13</v>
      </c>
      <c r="R1" s="1" t="s">
        <v>14</v>
      </c>
      <c r="S1" s="1" t="s">
        <v>15</v>
      </c>
      <c r="W1" t="s">
        <v>26</v>
      </c>
      <c r="X1" t="s">
        <v>27</v>
      </c>
      <c r="Y1" t="s">
        <v>28</v>
      </c>
      <c r="Z1" t="s">
        <v>39</v>
      </c>
      <c r="AA1" t="s">
        <v>40</v>
      </c>
      <c r="AB1" t="s">
        <v>31</v>
      </c>
      <c r="AC1" t="s">
        <v>32</v>
      </c>
    </row>
    <row r="2" spans="1:29" x14ac:dyDescent="0.25">
      <c r="A2">
        <v>236.7</v>
      </c>
      <c r="B2">
        <f>A2-273.15</f>
        <v>-36.449999999999989</v>
      </c>
      <c r="C2">
        <v>0.18</v>
      </c>
      <c r="D2">
        <f>500.5700125*C2</f>
        <v>90.102602250000004</v>
      </c>
      <c r="E2">
        <v>500570012.5</v>
      </c>
      <c r="F2">
        <f>0.80307-0.0010542*B2</f>
        <v>0.84149558999999996</v>
      </c>
      <c r="G2">
        <f>$D$22/F2</f>
        <v>0.46338781169370119</v>
      </c>
      <c r="H2">
        <f>$E$21/G2</f>
        <v>4.3160392861649058E-3</v>
      </c>
      <c r="I2">
        <f>$G$29*(1/F2)</f>
        <v>-6.2270082722596332E-7</v>
      </c>
      <c r="J2">
        <f>((3*D2)/(4*PI()*E2*H2))+I2</f>
        <v>9.3336113807185432E-6</v>
      </c>
      <c r="K2">
        <f>J2*744</f>
        <v>6.9442068672545959E-3</v>
      </c>
      <c r="L2">
        <f>K2-$G$31</f>
        <v>7.3702918672545956E-3</v>
      </c>
      <c r="M2">
        <f>L2*A2</f>
        <v>1.7445480849791626</v>
      </c>
      <c r="Q2">
        <v>0.20599999999999999</v>
      </c>
      <c r="R2">
        <f t="shared" ref="R2:R12" si="0">C2-C3</f>
        <v>-1.9000000000000017E-2</v>
      </c>
      <c r="S2">
        <f>Q2-Q3</f>
        <v>-1.6000000000000014E-2</v>
      </c>
      <c r="W2">
        <v>236.7</v>
      </c>
      <c r="X2">
        <f>1/W2</f>
        <v>4.2247570764681035E-3</v>
      </c>
      <c r="Y2">
        <v>1.7932523730379857</v>
      </c>
      <c r="Z2">
        <f>Y2/3.5</f>
        <v>0.51235782086799586</v>
      </c>
      <c r="AA2">
        <f>1-Z2</f>
        <v>0.48764217913200414</v>
      </c>
      <c r="AB2">
        <f>Z2/AA2</f>
        <v>1.0506839703242759</v>
      </c>
      <c r="AC2">
        <f>LN(AB2)</f>
        <v>4.9441352409174556E-2</v>
      </c>
    </row>
    <row r="3" spans="1:29" x14ac:dyDescent="0.25">
      <c r="A3">
        <v>243.8</v>
      </c>
      <c r="B3">
        <f t="shared" ref="B3:B13" si="1">A3-273.15</f>
        <v>-29.349999999999966</v>
      </c>
      <c r="C3">
        <v>0.19900000000000001</v>
      </c>
      <c r="D3">
        <f t="shared" ref="D3:D13" si="2">500.5700125*C3</f>
        <v>99.613432487500006</v>
      </c>
      <c r="E3">
        <v>500570012.5</v>
      </c>
      <c r="F3">
        <f t="shared" ref="F3:F13" si="3">0.80307-0.0010542*B3</f>
        <v>0.8340107699999999</v>
      </c>
      <c r="G3">
        <f t="shared" ref="G3:G13" si="4">$D$22/F3</f>
        <v>0.46754648024509327</v>
      </c>
      <c r="H3">
        <f t="shared" ref="H3:H13" si="5">$E$21/G3</f>
        <v>4.2776495696247715E-3</v>
      </c>
      <c r="I3">
        <f t="shared" ref="I3:I13" si="6">$G$29*(1/F3)</f>
        <v>-6.2828924859087859E-7</v>
      </c>
      <c r="J3">
        <f t="shared" ref="J3:J13" si="7">((3*D3)/(4*PI()*E3*H3))+I3</f>
        <v>1.0477751519750524E-5</v>
      </c>
      <c r="K3">
        <f t="shared" ref="K3:K13" si="8">J3*744</f>
        <v>7.7954471306943898E-3</v>
      </c>
      <c r="L3">
        <f t="shared" ref="L3:L13" si="9">K3-$G$31</f>
        <v>8.2215321306943895E-3</v>
      </c>
      <c r="M3">
        <f t="shared" ref="M3:M13" si="10">L3*A3</f>
        <v>2.0044095334632921</v>
      </c>
      <c r="Q3">
        <v>0.222</v>
      </c>
      <c r="R3">
        <f t="shared" si="0"/>
        <v>-1.999999999999999E-2</v>
      </c>
      <c r="S3">
        <f t="shared" ref="S3:S12" si="11">Q3-Q4</f>
        <v>-1.8999999999999989E-2</v>
      </c>
      <c r="W3">
        <v>243.8</v>
      </c>
      <c r="X3">
        <f t="shared" ref="X3:X11" si="12">1/W3</f>
        <v>4.1017227235438884E-3</v>
      </c>
      <c r="Y3">
        <v>2.0044095334632921</v>
      </c>
      <c r="Z3">
        <f t="shared" ref="Z3:Z11" si="13">Y3/3.5</f>
        <v>0.57268843813236914</v>
      </c>
      <c r="AA3">
        <f t="shared" ref="AA3:AA11" si="14">1-Z3</f>
        <v>0.42731156186763086</v>
      </c>
      <c r="AB3">
        <f t="shared" ref="AB3:AB11" si="15">Z3/AA3</f>
        <v>1.3402128311935821</v>
      </c>
      <c r="AC3">
        <f t="shared" ref="AC3:AC11" si="16">LN(AB3)</f>
        <v>0.29282843059973218</v>
      </c>
    </row>
    <row r="4" spans="1:29" x14ac:dyDescent="0.25">
      <c r="A4">
        <v>253.8</v>
      </c>
      <c r="B4">
        <f t="shared" si="1"/>
        <v>-19.349999999999966</v>
      </c>
      <c r="C4">
        <v>0.219</v>
      </c>
      <c r="D4">
        <f t="shared" si="2"/>
        <v>109.6248327375</v>
      </c>
      <c r="E4">
        <v>500570012.5</v>
      </c>
      <c r="F4">
        <f t="shared" si="3"/>
        <v>0.82346876999999996</v>
      </c>
      <c r="G4">
        <f t="shared" si="4"/>
        <v>0.47353198348979281</v>
      </c>
      <c r="H4">
        <f t="shared" si="5"/>
        <v>4.2235795463288085E-3</v>
      </c>
      <c r="I4">
        <f t="shared" si="6"/>
        <v>-6.3633257154366645E-7</v>
      </c>
      <c r="J4">
        <f t="shared" si="7"/>
        <v>1.174236143248715E-5</v>
      </c>
      <c r="K4">
        <f t="shared" si="8"/>
        <v>8.7363169057704405E-3</v>
      </c>
      <c r="L4">
        <f t="shared" si="9"/>
        <v>9.1624019057704401E-3</v>
      </c>
      <c r="M4">
        <f t="shared" si="10"/>
        <v>2.3254176036845378</v>
      </c>
      <c r="Q4">
        <v>0.24099999999999999</v>
      </c>
      <c r="R4">
        <f t="shared" si="0"/>
        <v>-5.0000000000000044E-3</v>
      </c>
      <c r="S4">
        <f t="shared" si="11"/>
        <v>-3.0000000000000027E-3</v>
      </c>
      <c r="W4">
        <v>253.8</v>
      </c>
      <c r="X4">
        <f t="shared" si="12"/>
        <v>3.9401103230890461E-3</v>
      </c>
      <c r="Y4">
        <v>2.3254176036845378</v>
      </c>
      <c r="Z4">
        <f t="shared" si="13"/>
        <v>0.6644050296241536</v>
      </c>
      <c r="AA4">
        <f t="shared" si="14"/>
        <v>0.3355949703758464</v>
      </c>
      <c r="AB4">
        <f t="shared" si="15"/>
        <v>1.9797824409586935</v>
      </c>
      <c r="AC4">
        <f t="shared" si="16"/>
        <v>0.68298696036569062</v>
      </c>
    </row>
    <row r="5" spans="1:29" x14ac:dyDescent="0.25">
      <c r="A5">
        <v>263.89999999999998</v>
      </c>
      <c r="B5">
        <f t="shared" si="1"/>
        <v>-9.25</v>
      </c>
      <c r="C5">
        <v>0.224</v>
      </c>
      <c r="D5">
        <f t="shared" si="2"/>
        <v>112.1276828</v>
      </c>
      <c r="E5">
        <v>500570012.5</v>
      </c>
      <c r="F5">
        <f t="shared" si="3"/>
        <v>0.81282135</v>
      </c>
      <c r="G5">
        <f t="shared" si="4"/>
        <v>0.4797349380648035</v>
      </c>
      <c r="H5">
        <f t="shared" si="5"/>
        <v>4.1689688227998858E-3</v>
      </c>
      <c r="I5">
        <f t="shared" si="6"/>
        <v>-6.4466810572827593E-7</v>
      </c>
      <c r="J5">
        <f t="shared" si="7"/>
        <v>1.2182499271110545E-5</v>
      </c>
      <c r="K5">
        <f t="shared" si="8"/>
        <v>9.0637794577062454E-3</v>
      </c>
      <c r="L5">
        <f t="shared" si="9"/>
        <v>9.4898644577062451E-3</v>
      </c>
      <c r="M5">
        <f t="shared" si="10"/>
        <v>2.5043752303886779</v>
      </c>
      <c r="Q5">
        <v>0.24399999999999999</v>
      </c>
      <c r="R5">
        <f t="shared" si="0"/>
        <v>-1.0000000000000009E-2</v>
      </c>
      <c r="S5">
        <f t="shared" si="11"/>
        <v>-6.0000000000000053E-3</v>
      </c>
      <c r="W5">
        <v>263.89999999999998</v>
      </c>
      <c r="X5">
        <f t="shared" si="12"/>
        <v>3.7893141341417205E-3</v>
      </c>
      <c r="Y5">
        <v>2.5043752303886779</v>
      </c>
      <c r="Z5">
        <f t="shared" si="13"/>
        <v>0.71553578011105079</v>
      </c>
      <c r="AA5">
        <f t="shared" si="14"/>
        <v>0.28446421988894921</v>
      </c>
      <c r="AB5">
        <f t="shared" si="15"/>
        <v>2.5153806000290153</v>
      </c>
      <c r="AC5">
        <f t="shared" si="16"/>
        <v>0.92242412412165675</v>
      </c>
    </row>
    <row r="6" spans="1:29" x14ac:dyDescent="0.25">
      <c r="A6">
        <v>272</v>
      </c>
      <c r="B6">
        <f t="shared" si="1"/>
        <v>-1.1499999999999773</v>
      </c>
      <c r="C6">
        <v>0.23400000000000001</v>
      </c>
      <c r="D6">
        <f t="shared" si="2"/>
        <v>117.13338292500001</v>
      </c>
      <c r="E6">
        <v>500570012.5</v>
      </c>
      <c r="F6">
        <f t="shared" si="3"/>
        <v>0.80428232999999993</v>
      </c>
      <c r="G6">
        <f t="shared" si="4"/>
        <v>0.4848282567640147</v>
      </c>
      <c r="H6">
        <f t="shared" si="5"/>
        <v>4.1251721039301551E-3</v>
      </c>
      <c r="I6">
        <f t="shared" si="6"/>
        <v>-6.5151251053843247E-7</v>
      </c>
      <c r="J6">
        <f t="shared" si="7"/>
        <v>1.2890561278827307E-5</v>
      </c>
      <c r="K6">
        <f t="shared" si="8"/>
        <v>9.5905775914475154E-3</v>
      </c>
      <c r="L6">
        <f t="shared" si="9"/>
        <v>1.0016662591447515E-2</v>
      </c>
      <c r="M6">
        <f t="shared" si="10"/>
        <v>2.724532224873724</v>
      </c>
      <c r="Q6">
        <v>0.25</v>
      </c>
      <c r="R6">
        <f t="shared" si="0"/>
        <v>8.0000000000000071E-3</v>
      </c>
      <c r="S6">
        <f t="shared" si="11"/>
        <v>4.0000000000000036E-3</v>
      </c>
      <c r="W6">
        <v>272</v>
      </c>
      <c r="X6">
        <f t="shared" si="12"/>
        <v>3.6764705882352941E-3</v>
      </c>
      <c r="Y6">
        <v>2.724532224873724</v>
      </c>
      <c r="Z6">
        <f t="shared" si="13"/>
        <v>0.77843777853534968</v>
      </c>
      <c r="AA6">
        <f t="shared" si="14"/>
        <v>0.22156222146465032</v>
      </c>
      <c r="AB6">
        <f t="shared" si="15"/>
        <v>3.5134048277248717</v>
      </c>
      <c r="AC6">
        <f t="shared" si="16"/>
        <v>1.2565856036853664</v>
      </c>
    </row>
    <row r="7" spans="1:29" x14ac:dyDescent="0.25">
      <c r="A7">
        <v>282.10000000000002</v>
      </c>
      <c r="B7">
        <f t="shared" si="1"/>
        <v>8.9500000000000455</v>
      </c>
      <c r="C7">
        <v>0.22600000000000001</v>
      </c>
      <c r="D7">
        <f t="shared" si="2"/>
        <v>113.128822825</v>
      </c>
      <c r="E7">
        <v>500570012.5</v>
      </c>
      <c r="F7">
        <f t="shared" si="3"/>
        <v>0.79363490999999986</v>
      </c>
      <c r="G7">
        <f t="shared" si="4"/>
        <v>0.49133272123828331</v>
      </c>
      <c r="H7">
        <f t="shared" si="5"/>
        <v>4.0705613804012317E-3</v>
      </c>
      <c r="I7">
        <f t="shared" si="6"/>
        <v>-6.6025321391167136E-7</v>
      </c>
      <c r="J7">
        <f t="shared" si="7"/>
        <v>1.2594313089381457E-5</v>
      </c>
      <c r="K7">
        <f t="shared" si="8"/>
        <v>9.3701689384998038E-3</v>
      </c>
      <c r="L7">
        <f t="shared" si="9"/>
        <v>9.7962539384998035E-3</v>
      </c>
      <c r="M7">
        <f t="shared" si="10"/>
        <v>2.7635232360507946</v>
      </c>
      <c r="Q7">
        <v>0.246</v>
      </c>
      <c r="R7">
        <f t="shared" si="0"/>
        <v>-6.0000000000000053E-3</v>
      </c>
      <c r="S7">
        <f t="shared" si="11"/>
        <v>0</v>
      </c>
      <c r="W7">
        <v>282.10000000000002</v>
      </c>
      <c r="X7">
        <f t="shared" si="12"/>
        <v>3.5448422545196734E-3</v>
      </c>
      <c r="Y7">
        <v>2.7635232360507946</v>
      </c>
      <c r="Z7">
        <f t="shared" si="13"/>
        <v>0.78957806744308423</v>
      </c>
      <c r="AA7">
        <f t="shared" si="14"/>
        <v>0.21042193255691577</v>
      </c>
      <c r="AB7">
        <f t="shared" si="15"/>
        <v>3.7523563149935235</v>
      </c>
      <c r="AC7">
        <f t="shared" si="16"/>
        <v>1.3223839933176371</v>
      </c>
    </row>
    <row r="8" spans="1:29" x14ac:dyDescent="0.25">
      <c r="A8">
        <v>292.2</v>
      </c>
      <c r="B8">
        <f t="shared" si="1"/>
        <v>19.050000000000011</v>
      </c>
      <c r="C8">
        <v>0.23200000000000001</v>
      </c>
      <c r="D8">
        <f t="shared" si="2"/>
        <v>116.13224290000001</v>
      </c>
      <c r="E8">
        <v>500570012.5</v>
      </c>
      <c r="F8">
        <f t="shared" si="3"/>
        <v>0.7829874899999999</v>
      </c>
      <c r="G8">
        <f t="shared" si="4"/>
        <v>0.49801408704499228</v>
      </c>
      <c r="H8">
        <f t="shared" si="5"/>
        <v>4.0159506568723091E-3</v>
      </c>
      <c r="I8">
        <f t="shared" si="6"/>
        <v>-6.6923163740457721E-7</v>
      </c>
      <c r="J8">
        <f t="shared" si="7"/>
        <v>1.312225260336921E-5</v>
      </c>
      <c r="K8">
        <f t="shared" si="8"/>
        <v>9.7629559369066931E-3</v>
      </c>
      <c r="L8">
        <f t="shared" si="9"/>
        <v>1.0189040936906693E-2</v>
      </c>
      <c r="M8">
        <f t="shared" si="10"/>
        <v>2.9772377617641355</v>
      </c>
      <c r="Q8">
        <v>0.246</v>
      </c>
      <c r="R8">
        <f t="shared" si="0"/>
        <v>1.6000000000000014E-2</v>
      </c>
      <c r="S8">
        <f t="shared" si="11"/>
        <v>1.8999999999999989E-2</v>
      </c>
      <c r="W8">
        <v>292.2</v>
      </c>
      <c r="X8">
        <f t="shared" si="12"/>
        <v>3.4223134839151269E-3</v>
      </c>
      <c r="Y8">
        <v>2.9772377617641355</v>
      </c>
      <c r="Z8">
        <f t="shared" si="13"/>
        <v>0.85063936050403866</v>
      </c>
      <c r="AA8">
        <f t="shared" si="14"/>
        <v>0.14936063949596134</v>
      </c>
      <c r="AB8">
        <f t="shared" si="15"/>
        <v>5.6952043280923395</v>
      </c>
      <c r="AC8">
        <f t="shared" si="16"/>
        <v>1.7396244747616447</v>
      </c>
    </row>
    <row r="9" spans="1:29" x14ac:dyDescent="0.25">
      <c r="A9">
        <v>302.3</v>
      </c>
      <c r="B9">
        <f t="shared" si="1"/>
        <v>29.150000000000034</v>
      </c>
      <c r="C9">
        <v>0.216</v>
      </c>
      <c r="D9">
        <f t="shared" si="2"/>
        <v>108.1231227</v>
      </c>
      <c r="E9">
        <v>500570012.5</v>
      </c>
      <c r="F9">
        <f t="shared" si="3"/>
        <v>0.77234006999999993</v>
      </c>
      <c r="G9">
        <f t="shared" si="4"/>
        <v>0.50487967042807969</v>
      </c>
      <c r="H9">
        <f t="shared" si="5"/>
        <v>3.9613399333433864E-3</v>
      </c>
      <c r="I9">
        <f t="shared" si="6"/>
        <v>-6.7845761259026742E-7</v>
      </c>
      <c r="J9">
        <f t="shared" si="7"/>
        <v>1.2338905812277947E-5</v>
      </c>
      <c r="K9">
        <f t="shared" si="8"/>
        <v>9.1801459243347934E-3</v>
      </c>
      <c r="L9">
        <f t="shared" si="9"/>
        <v>9.6062309243347931E-3</v>
      </c>
      <c r="M9">
        <f t="shared" si="10"/>
        <v>2.903963608426408</v>
      </c>
      <c r="Q9">
        <v>0.22700000000000001</v>
      </c>
      <c r="R9">
        <f t="shared" si="0"/>
        <v>-5.0000000000000044E-3</v>
      </c>
      <c r="S9">
        <f t="shared" si="11"/>
        <v>-4.0000000000000036E-3</v>
      </c>
    </row>
    <row r="10" spans="1:29" x14ac:dyDescent="0.25">
      <c r="A10">
        <v>312.39999999999998</v>
      </c>
      <c r="B10">
        <f t="shared" si="1"/>
        <v>39.25</v>
      </c>
      <c r="C10">
        <v>0.221</v>
      </c>
      <c r="D10">
        <f t="shared" si="2"/>
        <v>110.6259727625</v>
      </c>
      <c r="E10">
        <v>500570012.5</v>
      </c>
      <c r="F10">
        <f t="shared" si="3"/>
        <v>0.76169264999999997</v>
      </c>
      <c r="G10">
        <f t="shared" si="4"/>
        <v>0.51193719671576188</v>
      </c>
      <c r="H10">
        <f t="shared" si="5"/>
        <v>3.9067292098144638E-3</v>
      </c>
      <c r="I10">
        <f t="shared" si="6"/>
        <v>-6.8794152076956497E-7</v>
      </c>
      <c r="J10">
        <f t="shared" si="7"/>
        <v>1.2816926823424925E-5</v>
      </c>
      <c r="K10">
        <f t="shared" si="8"/>
        <v>9.5357935566281436E-3</v>
      </c>
      <c r="L10">
        <f t="shared" si="9"/>
        <v>9.9618785566281433E-3</v>
      </c>
      <c r="M10">
        <f t="shared" si="10"/>
        <v>3.1120908610906319</v>
      </c>
      <c r="Q10">
        <v>0.23100000000000001</v>
      </c>
      <c r="R10">
        <f t="shared" si="0"/>
        <v>6.0000000000000053E-3</v>
      </c>
      <c r="S10">
        <f t="shared" si="11"/>
        <v>1.0000000000000009E-3</v>
      </c>
      <c r="W10">
        <v>312.39999999999998</v>
      </c>
      <c r="X10">
        <f t="shared" si="12"/>
        <v>3.2010243277848915E-3</v>
      </c>
      <c r="Y10">
        <v>3.1120908610906319</v>
      </c>
      <c r="Z10">
        <f t="shared" si="13"/>
        <v>0.8891688174544663</v>
      </c>
      <c r="AA10">
        <f t="shared" si="14"/>
        <v>0.1108311825455337</v>
      </c>
      <c r="AB10">
        <f t="shared" si="15"/>
        <v>8.0227314825334624</v>
      </c>
      <c r="AC10">
        <f t="shared" si="16"/>
        <v>2.082278947749947</v>
      </c>
    </row>
    <row r="11" spans="1:29" x14ac:dyDescent="0.25">
      <c r="A11">
        <v>322.5</v>
      </c>
      <c r="B11">
        <f t="shared" si="1"/>
        <v>49.350000000000023</v>
      </c>
      <c r="C11">
        <v>0.215</v>
      </c>
      <c r="D11">
        <f t="shared" si="2"/>
        <v>107.6225526875</v>
      </c>
      <c r="E11">
        <v>500570012.5</v>
      </c>
      <c r="F11">
        <f t="shared" si="3"/>
        <v>0.7510452299999999</v>
      </c>
      <c r="G11">
        <f t="shared" si="4"/>
        <v>0.51919482931806915</v>
      </c>
      <c r="H11">
        <f t="shared" si="5"/>
        <v>3.8521184862855403E-3</v>
      </c>
      <c r="I11">
        <f t="shared" si="6"/>
        <v>-6.9769433193790485E-7</v>
      </c>
      <c r="J11">
        <f t="shared" si="7"/>
        <v>1.2626783959650031E-5</v>
      </c>
      <c r="K11">
        <f t="shared" si="8"/>
        <v>9.3943272659796229E-3</v>
      </c>
      <c r="L11">
        <f t="shared" si="9"/>
        <v>9.8204122659796226E-3</v>
      </c>
      <c r="M11">
        <f t="shared" si="10"/>
        <v>3.1670829557784281</v>
      </c>
      <c r="Q11">
        <v>0.23</v>
      </c>
      <c r="R11">
        <f t="shared" si="0"/>
        <v>3.0000000000000027E-3</v>
      </c>
      <c r="S11">
        <f t="shared" si="11"/>
        <v>2.8999999999999998E-2</v>
      </c>
      <c r="W11">
        <v>322.5</v>
      </c>
      <c r="X11">
        <f t="shared" si="12"/>
        <v>3.1007751937984496E-3</v>
      </c>
      <c r="Y11">
        <v>3.1670829557784281</v>
      </c>
      <c r="Z11">
        <f t="shared" si="13"/>
        <v>0.90488084450812234</v>
      </c>
      <c r="AA11">
        <f t="shared" si="14"/>
        <v>9.5119155491877661E-2</v>
      </c>
      <c r="AB11">
        <f t="shared" si="15"/>
        <v>9.5131295040291981</v>
      </c>
      <c r="AC11">
        <f t="shared" si="16"/>
        <v>2.2526728975059043</v>
      </c>
    </row>
    <row r="12" spans="1:29" x14ac:dyDescent="0.25">
      <c r="A12">
        <v>332.6</v>
      </c>
      <c r="B12">
        <f t="shared" si="1"/>
        <v>59.450000000000045</v>
      </c>
      <c r="C12">
        <v>0.21199999999999999</v>
      </c>
      <c r="D12">
        <f t="shared" si="2"/>
        <v>106.12084265</v>
      </c>
      <c r="E12">
        <v>500570012.5</v>
      </c>
      <c r="F12">
        <f t="shared" si="3"/>
        <v>0.74039780999999993</v>
      </c>
      <c r="G12">
        <f t="shared" si="4"/>
        <v>0.52666120122640558</v>
      </c>
      <c r="H12">
        <f t="shared" si="5"/>
        <v>3.7975077627566173E-3</v>
      </c>
      <c r="I12">
        <f t="shared" si="6"/>
        <v>-7.077276471144614E-7</v>
      </c>
      <c r="J12">
        <f t="shared" si="7"/>
        <v>1.2619768980959293E-5</v>
      </c>
      <c r="K12">
        <f t="shared" si="8"/>
        <v>9.3891081218337134E-3</v>
      </c>
      <c r="L12">
        <f t="shared" si="9"/>
        <v>9.8151931218337131E-3</v>
      </c>
      <c r="M12">
        <f t="shared" si="10"/>
        <v>3.2645332323218934</v>
      </c>
      <c r="Q12">
        <v>0.20100000000000001</v>
      </c>
      <c r="R12">
        <f t="shared" si="0"/>
        <v>4.0000000000000036E-3</v>
      </c>
      <c r="S12">
        <f t="shared" si="11"/>
        <v>9.000000000000008E-3</v>
      </c>
    </row>
    <row r="13" spans="1:29" x14ac:dyDescent="0.25">
      <c r="A13">
        <v>342.7</v>
      </c>
      <c r="B13">
        <f t="shared" si="1"/>
        <v>69.550000000000011</v>
      </c>
      <c r="C13">
        <v>0.20799999999999999</v>
      </c>
      <c r="D13">
        <f t="shared" si="2"/>
        <v>104.1185626</v>
      </c>
      <c r="E13">
        <v>500570012.5</v>
      </c>
      <c r="F13">
        <f t="shared" si="3"/>
        <v>0.72975038999999997</v>
      </c>
      <c r="G13">
        <f t="shared" si="4"/>
        <v>0.53434544927067462</v>
      </c>
      <c r="H13">
        <f t="shared" si="5"/>
        <v>3.7428970392276942E-3</v>
      </c>
      <c r="I13">
        <f t="shared" si="6"/>
        <v>-7.1805374437689576E-7</v>
      </c>
      <c r="J13">
        <f t="shared" si="7"/>
        <v>1.2548766508556748E-5</v>
      </c>
      <c r="K13">
        <f t="shared" si="8"/>
        <v>9.3362822823662203E-3</v>
      </c>
      <c r="L13">
        <f t="shared" si="9"/>
        <v>9.7623672823662199E-3</v>
      </c>
      <c r="M13">
        <f t="shared" si="10"/>
        <v>3.3455632676669036</v>
      </c>
      <c r="Q13">
        <v>0.192</v>
      </c>
    </row>
    <row r="18" spans="2:27" x14ac:dyDescent="0.25">
      <c r="Z18" t="s">
        <v>33</v>
      </c>
      <c r="AA18">
        <v>-1967.1</v>
      </c>
    </row>
    <row r="19" spans="2:27" x14ac:dyDescent="0.25">
      <c r="Z19" t="s">
        <v>34</v>
      </c>
      <c r="AA19">
        <v>8.3908000000000005</v>
      </c>
    </row>
    <row r="20" spans="2:27" x14ac:dyDescent="0.25">
      <c r="D20" t="s">
        <v>16</v>
      </c>
      <c r="E20" t="s">
        <v>17</v>
      </c>
      <c r="F20" t="s">
        <v>18</v>
      </c>
      <c r="Y20" t="s">
        <v>36</v>
      </c>
      <c r="Z20" t="s">
        <v>35</v>
      </c>
      <c r="AA20">
        <v>8.3144600000000004</v>
      </c>
    </row>
    <row r="21" spans="2:27" x14ac:dyDescent="0.25">
      <c r="C21" t="s">
        <v>19</v>
      </c>
      <c r="D21">
        <v>22</v>
      </c>
      <c r="E21">
        <v>2E-3</v>
      </c>
      <c r="F21">
        <f>0.80307-0.0010542*D21</f>
        <v>0.77987759999999995</v>
      </c>
    </row>
    <row r="22" spans="2:27" x14ac:dyDescent="0.25">
      <c r="C22">
        <v>0.5</v>
      </c>
      <c r="D22">
        <f>C22*F21</f>
        <v>0.38993879999999997</v>
      </c>
      <c r="Z22" t="s">
        <v>37</v>
      </c>
      <c r="AA22">
        <f>(AA18*AA20)/1000</f>
        <v>-16.355374266000002</v>
      </c>
    </row>
    <row r="23" spans="2:27" x14ac:dyDescent="0.25">
      <c r="D23" t="s">
        <v>20</v>
      </c>
      <c r="Z23" t="s">
        <v>38</v>
      </c>
      <c r="AA23">
        <f>AA19*AA20</f>
        <v>69.764970968000014</v>
      </c>
    </row>
    <row r="28" spans="2:27" x14ac:dyDescent="0.25">
      <c r="B28" t="s">
        <v>21</v>
      </c>
      <c r="F28" t="s">
        <v>22</v>
      </c>
      <c r="G28" t="s">
        <v>23</v>
      </c>
    </row>
    <row r="29" spans="2:27" x14ac:dyDescent="0.25">
      <c r="B29" t="s">
        <v>24</v>
      </c>
      <c r="F29">
        <v>20</v>
      </c>
      <c r="G29">
        <f>-5.24*10^-7</f>
        <v>-5.2399999999999998E-7</v>
      </c>
    </row>
    <row r="31" spans="2:27" x14ac:dyDescent="0.25">
      <c r="F31" s="3" t="s">
        <v>25</v>
      </c>
      <c r="G31">
        <f>-852.17/2000000</f>
        <v>-4.2608499999999998E-4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MeCN</vt:lpstr>
      <vt:lpstr>TMS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2022-07-26T16:12:36Z</dcterms:modified>
</cp:coreProperties>
</file>