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4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5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16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17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1.xml" ContentType="application/vnd.openxmlformats-officedocument.themeOverride+xml"/>
  <Override PartName="/xl/drawings/drawing18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19.xml" ContentType="application/vnd.openxmlformats-officedocument.drawingml.chartshapes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20.xml" ContentType="application/vnd.openxmlformats-officedocument.drawingml.chartshapes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2.xml" ContentType="application/vnd.openxmlformats-officedocument.themeOverride+xml"/>
  <Override PartName="/xl/drawings/drawing21.xml" ContentType="application/vnd.openxmlformats-officedocument.drawingml.chartshapes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Academic-Services\Library-Services\RDL\Repository\Ries_M\DOI450\"/>
    </mc:Choice>
  </mc:AlternateContent>
  <bookViews>
    <workbookView xWindow="0" yWindow="0" windowWidth="28800" windowHeight="12225" tabRatio="945"/>
  </bookViews>
  <sheets>
    <sheet name="Diff VS wt% of xylan and temp" sheetId="2" r:id="rId1"/>
    <sheet name="Ln(D) of xylan with 15%cell" sheetId="1" r:id="rId2"/>
    <sheet name="Ln Eta vs 1 over temp " sheetId="12" r:id="rId3"/>
    <sheet name="Ratio of Dan to Dcat" sheetId="7" r:id="rId4"/>
    <sheet name="ActivaEnergy ofXylan &amp;Cellulol " sheetId="3" r:id="rId5"/>
    <sheet name="RH vs CON,%" sheetId="23" r:id="rId6"/>
    <sheet name="PPM of xylan at 40c" sheetId="4" r:id="rId7"/>
    <sheet name="PPM of xylan at 50c" sheetId="5" r:id="rId8"/>
    <sheet name="Ln (D) vs Temp to eta" sheetId="9" r:id="rId9"/>
    <sheet name="Viscosity vs shear rate @40c " sheetId="22" r:id="rId10"/>
    <sheet name="lnT2 vs 1 over Temp" sheetId="10" r:id="rId11"/>
    <sheet name="Ln T1 s  vs 1over Temp " sheetId="11" r:id="rId12"/>
    <sheet name="Viscos VS xylan concentrations" sheetId="20" r:id="rId13"/>
    <sheet name="LnEta of xylan&amp; cellu vs Temp" sheetId="15" r:id="rId14"/>
    <sheet name="Activ energy of viscos, T1&amp;T2 " sheetId="16" r:id="rId15"/>
    <sheet name="T1 vs temp over visocsity " sheetId="13" r:id="rId16"/>
    <sheet name="T2 vs Temp over Eta" sheetId="14" r:id="rId17"/>
    <sheet name="Intrinsic viscosity of xylan" sheetId="25" r:id="rId18"/>
    <sheet name=" the correction term" sheetId="24" r:id="rId19"/>
  </sheets>
  <externalReferences>
    <externalReference r:id="rId20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4" l="1"/>
  <c r="C17" i="24"/>
  <c r="C18" i="24"/>
  <c r="C19" i="24"/>
  <c r="C20" i="24"/>
  <c r="C15" i="24"/>
  <c r="B20" i="24"/>
  <c r="B16" i="24"/>
  <c r="B17" i="24"/>
  <c r="B18" i="24"/>
  <c r="B19" i="24"/>
  <c r="B15" i="24"/>
  <c r="D15" i="23" l="1"/>
  <c r="C14" i="23"/>
  <c r="C16" i="23" s="1"/>
  <c r="C15" i="23"/>
  <c r="B16" i="23"/>
  <c r="B15" i="23"/>
  <c r="B14" i="23"/>
  <c r="B22" i="23"/>
  <c r="B23" i="23"/>
  <c r="B20" i="23" a="1"/>
  <c r="B20" i="23" s="1"/>
  <c r="C21" i="23" l="1"/>
  <c r="B21" i="23"/>
  <c r="C20" i="23"/>
  <c r="B24" i="23" l="1"/>
  <c r="N4" i="3" l="1"/>
  <c r="G9" i="3" l="1"/>
  <c r="M9" i="3"/>
  <c r="E7" i="11" l="1"/>
  <c r="E8" i="11"/>
  <c r="E9" i="11"/>
  <c r="E10" i="11"/>
  <c r="E11" i="11"/>
  <c r="F7" i="11"/>
  <c r="F8" i="11"/>
  <c r="F9" i="11"/>
  <c r="F10" i="11"/>
  <c r="F11" i="11"/>
  <c r="G7" i="11"/>
  <c r="G8" i="11"/>
  <c r="G9" i="11"/>
  <c r="G10" i="11"/>
  <c r="G11" i="11"/>
  <c r="G56" i="11" l="1"/>
  <c r="G64" i="11" s="1"/>
  <c r="F56" i="11"/>
  <c r="F64" i="11" s="1"/>
  <c r="E56" i="11"/>
  <c r="E64" i="11" s="1"/>
  <c r="D56" i="11"/>
  <c r="D64" i="11" s="1"/>
  <c r="C56" i="11"/>
  <c r="C64" i="11" s="1"/>
  <c r="B56" i="11"/>
  <c r="B64" i="11" s="1"/>
  <c r="G55" i="11"/>
  <c r="G63" i="11" s="1"/>
  <c r="F55" i="11"/>
  <c r="F63" i="11" s="1"/>
  <c r="E55" i="11"/>
  <c r="E63" i="11" s="1"/>
  <c r="D55" i="11"/>
  <c r="D63" i="11" s="1"/>
  <c r="C55" i="11"/>
  <c r="C63" i="11" s="1"/>
  <c r="B55" i="11"/>
  <c r="B63" i="11" s="1"/>
  <c r="G54" i="11"/>
  <c r="G62" i="11" s="1"/>
  <c r="F54" i="11"/>
  <c r="F62" i="11" s="1"/>
  <c r="E54" i="11"/>
  <c r="E62" i="11" s="1"/>
  <c r="D54" i="11"/>
  <c r="D62" i="11" s="1"/>
  <c r="C54" i="11"/>
  <c r="C62" i="11" s="1"/>
  <c r="B54" i="11"/>
  <c r="B62" i="11" s="1"/>
  <c r="G53" i="11"/>
  <c r="G61" i="11" s="1"/>
  <c r="F53" i="11"/>
  <c r="F61" i="11" s="1"/>
  <c r="E53" i="11"/>
  <c r="E61" i="11" s="1"/>
  <c r="D53" i="11"/>
  <c r="D61" i="11" s="1"/>
  <c r="C53" i="11"/>
  <c r="C61" i="11" s="1"/>
  <c r="B53" i="11"/>
  <c r="B61" i="11" s="1"/>
  <c r="G52" i="11"/>
  <c r="G60" i="11" s="1"/>
  <c r="F52" i="11"/>
  <c r="M51" i="11" s="1" a="1"/>
  <c r="E52" i="11"/>
  <c r="E60" i="11" s="1"/>
  <c r="D52" i="11"/>
  <c r="J57" i="11" s="1" a="1"/>
  <c r="C52" i="11"/>
  <c r="C60" i="11" s="1"/>
  <c r="B52" i="11"/>
  <c r="B60" i="11" s="1"/>
  <c r="D56" i="10"/>
  <c r="B49" i="10"/>
  <c r="B57" i="10" s="1"/>
  <c r="C49" i="10"/>
  <c r="C57" i="10" s="1"/>
  <c r="D49" i="10"/>
  <c r="D57" i="10" s="1"/>
  <c r="E49" i="10"/>
  <c r="E57" i="10" s="1"/>
  <c r="F49" i="10"/>
  <c r="F57" i="10" s="1"/>
  <c r="G49" i="10"/>
  <c r="G57" i="10" s="1"/>
  <c r="B50" i="10"/>
  <c r="B58" i="10" s="1"/>
  <c r="C50" i="10"/>
  <c r="C58" i="10" s="1"/>
  <c r="D50" i="10"/>
  <c r="D58" i="10" s="1"/>
  <c r="E50" i="10"/>
  <c r="E58" i="10" s="1"/>
  <c r="F50" i="10"/>
  <c r="F58" i="10" s="1"/>
  <c r="G50" i="10"/>
  <c r="G58" i="10" s="1"/>
  <c r="B51" i="10"/>
  <c r="B59" i="10" s="1"/>
  <c r="C51" i="10"/>
  <c r="C59" i="10" s="1"/>
  <c r="D51" i="10"/>
  <c r="D59" i="10" s="1"/>
  <c r="E51" i="10"/>
  <c r="E59" i="10" s="1"/>
  <c r="F51" i="10"/>
  <c r="F59" i="10" s="1"/>
  <c r="G51" i="10"/>
  <c r="G59" i="10" s="1"/>
  <c r="B52" i="10"/>
  <c r="C52" i="10"/>
  <c r="J47" i="10" s="1" a="1"/>
  <c r="D52" i="10"/>
  <c r="D60" i="10" s="1"/>
  <c r="E52" i="10"/>
  <c r="E60" i="10" s="1"/>
  <c r="F52" i="10"/>
  <c r="F60" i="10" s="1"/>
  <c r="G52" i="10"/>
  <c r="G60" i="10" s="1"/>
  <c r="C48" i="10"/>
  <c r="C56" i="10" s="1"/>
  <c r="D48" i="10"/>
  <c r="E48" i="10"/>
  <c r="M41" i="10" s="1" a="1"/>
  <c r="F48" i="10"/>
  <c r="F56" i="10" s="1"/>
  <c r="G48" i="10"/>
  <c r="G56" i="10" s="1"/>
  <c r="B48" i="10"/>
  <c r="B56" i="10" s="1"/>
  <c r="B70" i="10" l="1"/>
  <c r="J53" i="10" a="1"/>
  <c r="J54" i="10" s="1"/>
  <c r="M51" i="11"/>
  <c r="N51" i="11"/>
  <c r="M52" i="11"/>
  <c r="K54" i="10"/>
  <c r="B71" i="10"/>
  <c r="M41" i="10"/>
  <c r="N42" i="10"/>
  <c r="N41" i="10"/>
  <c r="B68" i="10"/>
  <c r="J57" i="11"/>
  <c r="K57" i="11"/>
  <c r="K58" i="11"/>
  <c r="E56" i="10"/>
  <c r="B69" i="10" s="1"/>
  <c r="E69" i="10" s="1"/>
  <c r="M53" i="10" a="1"/>
  <c r="F60" i="11"/>
  <c r="B74" i="11" s="1"/>
  <c r="E74" i="11" s="1"/>
  <c r="J45" i="11" a="1"/>
  <c r="K46" i="11" s="1"/>
  <c r="M45" i="11" a="1"/>
  <c r="J41" i="10" a="1"/>
  <c r="B60" i="10"/>
  <c r="D60" i="11"/>
  <c r="M47" i="10" a="1"/>
  <c r="N48" i="10" s="1"/>
  <c r="J51" i="11" a="1"/>
  <c r="J52" i="11" s="1"/>
  <c r="M57" i="11" a="1"/>
  <c r="N58" i="11" s="1"/>
  <c r="N52" i="11"/>
  <c r="J58" i="11"/>
  <c r="M53" i="11"/>
  <c r="M54" i="11" s="1"/>
  <c r="B75" i="11"/>
  <c r="E75" i="11" s="1"/>
  <c r="B73" i="11"/>
  <c r="E73" i="11" s="1"/>
  <c r="B70" i="11"/>
  <c r="E70" i="11" s="1"/>
  <c r="B72" i="11"/>
  <c r="E72" i="11" s="1"/>
  <c r="B71" i="11"/>
  <c r="E71" i="11" s="1"/>
  <c r="M54" i="10"/>
  <c r="M42" i="10"/>
  <c r="J47" i="10"/>
  <c r="K47" i="10"/>
  <c r="K48" i="10"/>
  <c r="J41" i="10"/>
  <c r="K42" i="10"/>
  <c r="C60" i="10"/>
  <c r="B67" i="10" s="1"/>
  <c r="E67" i="10" s="1"/>
  <c r="J48" i="10"/>
  <c r="J49" i="10" s="1"/>
  <c r="J50" i="10" s="1"/>
  <c r="K41" i="10"/>
  <c r="J42" i="10"/>
  <c r="E70" i="10"/>
  <c r="E71" i="10"/>
  <c r="B66" i="10"/>
  <c r="E66" i="10" s="1"/>
  <c r="E68" i="10"/>
  <c r="J53" i="10" l="1"/>
  <c r="J55" i="10" s="1"/>
  <c r="J56" i="10" s="1"/>
  <c r="K53" i="10"/>
  <c r="M45" i="11"/>
  <c r="N46" i="11"/>
  <c r="N45" i="11"/>
  <c r="J45" i="11"/>
  <c r="K45" i="11"/>
  <c r="J46" i="11"/>
  <c r="J47" i="11" s="1"/>
  <c r="J48" i="11" s="1"/>
  <c r="M47" i="10"/>
  <c r="M48" i="10"/>
  <c r="N47" i="10"/>
  <c r="J43" i="10"/>
  <c r="J44" i="10" s="1"/>
  <c r="J59" i="11"/>
  <c r="J60" i="11" s="1"/>
  <c r="M57" i="11"/>
  <c r="N57" i="11"/>
  <c r="M58" i="11"/>
  <c r="M59" i="11" s="1"/>
  <c r="M60" i="11" s="1"/>
  <c r="M46" i="11"/>
  <c r="M47" i="11" s="1"/>
  <c r="M48" i="11" s="1"/>
  <c r="J51" i="11"/>
  <c r="J53" i="11" s="1"/>
  <c r="J54" i="11" s="1"/>
  <c r="K51" i="11"/>
  <c r="K52" i="11"/>
  <c r="M53" i="10"/>
  <c r="M55" i="10" s="1"/>
  <c r="M56" i="10" s="1"/>
  <c r="N53" i="10"/>
  <c r="N54" i="10"/>
  <c r="M43" i="10"/>
  <c r="M44" i="10" s="1"/>
  <c r="M49" i="10"/>
  <c r="M50" i="10" s="1"/>
  <c r="B35" i="24" l="1" a="1"/>
  <c r="B35" i="24" s="1"/>
  <c r="B31" i="24" a="1"/>
  <c r="B31" i="24" s="1"/>
  <c r="B27" i="24"/>
  <c r="C27" i="24"/>
  <c r="B26" i="24"/>
  <c r="C26" i="24"/>
  <c r="C28" i="24" s="1"/>
  <c r="A27" i="24"/>
  <c r="A26" i="24"/>
  <c r="B28" i="24" l="1"/>
  <c r="A28" i="24"/>
  <c r="C35" i="24"/>
  <c r="C36" i="24"/>
  <c r="B36" i="24"/>
  <c r="C32" i="24"/>
  <c r="B32" i="24"/>
  <c r="C31" i="24"/>
  <c r="T44" i="25"/>
  <c r="S44" i="25"/>
  <c r="R44" i="25"/>
  <c r="T43" i="25"/>
  <c r="S43" i="25"/>
  <c r="R43" i="25"/>
  <c r="S35" i="25"/>
  <c r="S34" i="25"/>
  <c r="S33" i="25"/>
  <c r="S32" i="25"/>
  <c r="S31" i="25"/>
  <c r="AH10" i="25"/>
  <c r="AF10" i="25"/>
  <c r="AD10" i="25"/>
  <c r="AC10" i="25"/>
  <c r="AB10" i="25"/>
  <c r="AA10" i="25"/>
  <c r="Z10" i="25"/>
  <c r="AH9" i="25"/>
  <c r="AF9" i="25"/>
  <c r="AD9" i="25"/>
  <c r="AC9" i="25"/>
  <c r="AB9" i="25"/>
  <c r="AA9" i="25"/>
  <c r="Z9" i="25"/>
  <c r="K9" i="25"/>
  <c r="C51" i="25" s="1"/>
  <c r="J9" i="25"/>
  <c r="B51" i="25" s="1"/>
  <c r="I9" i="25"/>
  <c r="C45" i="25" s="1"/>
  <c r="H9" i="25"/>
  <c r="B45" i="25" s="1"/>
  <c r="G9" i="25"/>
  <c r="G18" i="25" s="1"/>
  <c r="F9" i="25"/>
  <c r="B39" i="25" s="1"/>
  <c r="E9" i="25"/>
  <c r="C33" i="25" s="1"/>
  <c r="D9" i="25"/>
  <c r="B33" i="25" s="1"/>
  <c r="C9" i="25"/>
  <c r="C18" i="25" s="1"/>
  <c r="B9" i="25"/>
  <c r="B27" i="25" s="1"/>
  <c r="AH8" i="25"/>
  <c r="AF8" i="25"/>
  <c r="AD8" i="25"/>
  <c r="AC8" i="25"/>
  <c r="AB8" i="25"/>
  <c r="AA8" i="25"/>
  <c r="Z8" i="25"/>
  <c r="K8" i="25"/>
  <c r="C50" i="25" s="1"/>
  <c r="J8" i="25"/>
  <c r="B50" i="25" s="1"/>
  <c r="I8" i="25"/>
  <c r="C44" i="25" s="1"/>
  <c r="H8" i="25"/>
  <c r="B44" i="25" s="1"/>
  <c r="G8" i="25"/>
  <c r="G17" i="25" s="1"/>
  <c r="F8" i="25"/>
  <c r="B38" i="25" s="1"/>
  <c r="E8" i="25"/>
  <c r="E17" i="25" s="1"/>
  <c r="D8" i="25"/>
  <c r="B32" i="25" s="1"/>
  <c r="C8" i="25"/>
  <c r="C26" i="25" s="1"/>
  <c r="B8" i="25"/>
  <c r="B26" i="25" s="1"/>
  <c r="AH7" i="25"/>
  <c r="AF7" i="25"/>
  <c r="AD7" i="25"/>
  <c r="AC7" i="25"/>
  <c r="AB7" i="25"/>
  <c r="AA7" i="25"/>
  <c r="Z7" i="25"/>
  <c r="K7" i="25"/>
  <c r="C49" i="25" s="1"/>
  <c r="J7" i="25"/>
  <c r="B49" i="25" s="1"/>
  <c r="I7" i="25"/>
  <c r="C43" i="25" s="1"/>
  <c r="H7" i="25"/>
  <c r="B43" i="25" s="1"/>
  <c r="G7" i="25"/>
  <c r="C37" i="25" s="1"/>
  <c r="F7" i="25"/>
  <c r="B37" i="25" s="1"/>
  <c r="E7" i="25"/>
  <c r="C31" i="25" s="1"/>
  <c r="D7" i="25"/>
  <c r="B31" i="25" s="1"/>
  <c r="C7" i="25"/>
  <c r="C16" i="25" s="1"/>
  <c r="B7" i="25"/>
  <c r="B25" i="25" s="1"/>
  <c r="AF6" i="25"/>
  <c r="AD6" i="25"/>
  <c r="AC6" i="25"/>
  <c r="AB6" i="25"/>
  <c r="AA6" i="25"/>
  <c r="Z6" i="25"/>
  <c r="K6" i="25"/>
  <c r="C48" i="25" s="1"/>
  <c r="J6" i="25"/>
  <c r="B48" i="25" s="1"/>
  <c r="I6" i="25"/>
  <c r="C42" i="25" s="1"/>
  <c r="H6" i="25"/>
  <c r="B42" i="25" s="1"/>
  <c r="G6" i="25"/>
  <c r="G15" i="25" s="1"/>
  <c r="F6" i="25"/>
  <c r="B36" i="25" s="1"/>
  <c r="E6" i="25"/>
  <c r="C30" i="25" s="1"/>
  <c r="D6" i="25"/>
  <c r="B30" i="25" s="1"/>
  <c r="C6" i="25"/>
  <c r="C24" i="25" s="1"/>
  <c r="B6" i="25"/>
  <c r="B24" i="25" s="1"/>
  <c r="AF5" i="25"/>
  <c r="AJ9" i="25" s="1"/>
  <c r="AD5" i="25"/>
  <c r="AC5" i="25"/>
  <c r="AB5" i="25"/>
  <c r="AA5" i="25"/>
  <c r="Z5" i="25"/>
  <c r="K5" i="25"/>
  <c r="C47" i="25" s="1"/>
  <c r="J5" i="25"/>
  <c r="B47" i="25" s="1"/>
  <c r="I5" i="25"/>
  <c r="C41" i="25" s="1"/>
  <c r="H5" i="25"/>
  <c r="B41" i="25" s="1"/>
  <c r="G5" i="25"/>
  <c r="C35" i="25" s="1"/>
  <c r="F5" i="25"/>
  <c r="B35" i="25" s="1"/>
  <c r="E5" i="25"/>
  <c r="E14" i="25" s="1"/>
  <c r="D5" i="25"/>
  <c r="B29" i="25" s="1"/>
  <c r="C5" i="25"/>
  <c r="C23" i="25" s="1"/>
  <c r="B5" i="25"/>
  <c r="B23" i="25" s="1"/>
  <c r="AD4" i="25"/>
  <c r="AC4" i="25"/>
  <c r="AB4" i="25"/>
  <c r="AA4" i="25"/>
  <c r="Z4" i="25"/>
  <c r="K4" i="25"/>
  <c r="C46" i="25" s="1"/>
  <c r="J4" i="25"/>
  <c r="B46" i="25" s="1"/>
  <c r="I4" i="25"/>
  <c r="O19" i="25" s="1" a="1"/>
  <c r="H4" i="25"/>
  <c r="B40" i="25" s="1"/>
  <c r="G4" i="25"/>
  <c r="C34" i="25" s="1"/>
  <c r="F4" i="25"/>
  <c r="B34" i="25" s="1"/>
  <c r="E4" i="25"/>
  <c r="C28" i="25" s="1"/>
  <c r="D4" i="25"/>
  <c r="B28" i="25" s="1"/>
  <c r="C4" i="25"/>
  <c r="C13" i="25" s="1"/>
  <c r="B4" i="25"/>
  <c r="B22" i="25" s="1"/>
  <c r="T45" i="25" l="1"/>
  <c r="R45" i="25"/>
  <c r="AG9" i="25"/>
  <c r="AI9" i="25" s="1"/>
  <c r="C14" i="25"/>
  <c r="S45" i="25"/>
  <c r="G14" i="25"/>
  <c r="C22" i="25"/>
  <c r="AJ7" i="25"/>
  <c r="AG10" i="25"/>
  <c r="AI10" i="25" s="1"/>
  <c r="C27" i="25"/>
  <c r="O24" i="25" a="1"/>
  <c r="P25" i="25" s="1"/>
  <c r="AJ6" i="25"/>
  <c r="AG7" i="25"/>
  <c r="AI7" i="25" s="1"/>
  <c r="AJ8" i="25"/>
  <c r="E13" i="25"/>
  <c r="K14" i="25"/>
  <c r="C29" i="25"/>
  <c r="AG8" i="25"/>
  <c r="AI8" i="25" s="1"/>
  <c r="K18" i="25"/>
  <c r="AJ5" i="25"/>
  <c r="O4" i="25" a="1"/>
  <c r="O4" i="25" s="1"/>
  <c r="I13" i="25"/>
  <c r="O19" i="25"/>
  <c r="P20" i="25"/>
  <c r="O20" i="25"/>
  <c r="P19" i="25"/>
  <c r="E16" i="25"/>
  <c r="O9" i="25" a="1"/>
  <c r="AJ10" i="25"/>
  <c r="G13" i="25"/>
  <c r="O14" i="25" a="1"/>
  <c r="I15" i="25"/>
  <c r="G16" i="25"/>
  <c r="C17" i="25"/>
  <c r="K17" i="25"/>
  <c r="I18" i="25"/>
  <c r="C25" i="25"/>
  <c r="C32" i="25"/>
  <c r="C36" i="25"/>
  <c r="C38" i="25"/>
  <c r="C40" i="25"/>
  <c r="C15" i="25"/>
  <c r="K15" i="25"/>
  <c r="I16" i="25"/>
  <c r="K13" i="25"/>
  <c r="I14" i="25"/>
  <c r="E15" i="25"/>
  <c r="K16" i="25"/>
  <c r="E18" i="25"/>
  <c r="C39" i="25"/>
  <c r="I17" i="25"/>
  <c r="N53" i="13"/>
  <c r="P24" i="25" l="1"/>
  <c r="O24" i="25"/>
  <c r="P4" i="25"/>
  <c r="O21" i="25"/>
  <c r="O25" i="25"/>
  <c r="O26" i="25" s="1"/>
  <c r="AI3" i="25"/>
  <c r="P5" i="25"/>
  <c r="O5" i="25"/>
  <c r="O6" i="25" s="1"/>
  <c r="P9" i="25"/>
  <c r="O9" i="25"/>
  <c r="P10" i="25"/>
  <c r="O10" i="25"/>
  <c r="O15" i="25"/>
  <c r="P14" i="25"/>
  <c r="O14" i="25"/>
  <c r="P15" i="25"/>
  <c r="AI28" i="2" a="1"/>
  <c r="AI28" i="2" s="1"/>
  <c r="AG28" i="2" a="1"/>
  <c r="AH29" i="2" s="1"/>
  <c r="AE28" i="2" a="1"/>
  <c r="AE28" i="2" s="1"/>
  <c r="AC28" i="2" a="1"/>
  <c r="AC28" i="2" s="1"/>
  <c r="AA28" i="2" a="1"/>
  <c r="AA29" i="2" s="1"/>
  <c r="Y28" i="2" a="1"/>
  <c r="Y28" i="2" s="1"/>
  <c r="W28" i="2" a="1"/>
  <c r="W29" i="2" s="1"/>
  <c r="AG20" i="2" a="1"/>
  <c r="AH20" i="2" s="1"/>
  <c r="AI20" i="2" a="1"/>
  <c r="AI21" i="2" s="1"/>
  <c r="AE20" i="2" a="1"/>
  <c r="AE20" i="2" s="1"/>
  <c r="AC20" i="2" a="1"/>
  <c r="AC21" i="2" s="1"/>
  <c r="AA20" i="2" a="1"/>
  <c r="AA20" i="2" s="1"/>
  <c r="Y20" i="2" a="1"/>
  <c r="Z20" i="2" s="1"/>
  <c r="W20" i="2" a="1"/>
  <c r="W20" i="2" s="1"/>
  <c r="O16" i="25" l="1"/>
  <c r="O11" i="25"/>
  <c r="Y20" i="2"/>
  <c r="Z21" i="2"/>
  <c r="Y21" i="2"/>
  <c r="AJ29" i="2"/>
  <c r="AI29" i="2"/>
  <c r="AI30" i="2" s="1"/>
  <c r="AJ28" i="2"/>
  <c r="AG29" i="2"/>
  <c r="AH28" i="2"/>
  <c r="AG28" i="2"/>
  <c r="AE29" i="2"/>
  <c r="AE30" i="2" s="1"/>
  <c r="AF28" i="2"/>
  <c r="AF29" i="2"/>
  <c r="AD29" i="2"/>
  <c r="AC29" i="2"/>
  <c r="AC30" i="2" s="1"/>
  <c r="AD28" i="2"/>
  <c r="AB28" i="2"/>
  <c r="AA28" i="2"/>
  <c r="AB29" i="2"/>
  <c r="Z29" i="2"/>
  <c r="Y29" i="2"/>
  <c r="Y30" i="2" s="1"/>
  <c r="Z28" i="2"/>
  <c r="X28" i="2"/>
  <c r="W28" i="2"/>
  <c r="W30" i="2" s="1"/>
  <c r="X29" i="2"/>
  <c r="AA30" i="2"/>
  <c r="AH21" i="2"/>
  <c r="AG21" i="2"/>
  <c r="AG20" i="2"/>
  <c r="AJ21" i="2"/>
  <c r="AJ20" i="2"/>
  <c r="AI20" i="2"/>
  <c r="AF21" i="2"/>
  <c r="AE21" i="2"/>
  <c r="AF20" i="2"/>
  <c r="AD20" i="2"/>
  <c r="AC20" i="2"/>
  <c r="AD21" i="2"/>
  <c r="AB21" i="2"/>
  <c r="AA21" i="2"/>
  <c r="AA22" i="2" s="1"/>
  <c r="AB20" i="2"/>
  <c r="X21" i="2"/>
  <c r="W21" i="2"/>
  <c r="W22" i="2" s="1"/>
  <c r="X20" i="2"/>
  <c r="AI22" i="2"/>
  <c r="AG30" i="2" l="1"/>
  <c r="AG22" i="2"/>
  <c r="AC22" i="2"/>
  <c r="Y22" i="2"/>
  <c r="AE22" i="2"/>
  <c r="M28" i="2" l="1"/>
  <c r="O18" i="15" l="1"/>
  <c r="O19" i="15"/>
  <c r="O20" i="15"/>
  <c r="O21" i="15"/>
  <c r="O22" i="15"/>
  <c r="P18" i="15"/>
  <c r="N7" i="22" l="1" a="1"/>
  <c r="O7" i="22" s="1"/>
  <c r="N8" i="22" l="1"/>
  <c r="O8" i="22"/>
  <c r="N7" i="22"/>
  <c r="J9" i="3"/>
  <c r="J8" i="3"/>
  <c r="J7" i="3"/>
  <c r="J6" i="3"/>
  <c r="J5" i="3"/>
  <c r="J4" i="3"/>
  <c r="I9" i="3"/>
  <c r="I8" i="3"/>
  <c r="I7" i="3"/>
  <c r="I6" i="3"/>
  <c r="I5" i="3"/>
  <c r="I4" i="3"/>
  <c r="H9" i="3"/>
  <c r="H8" i="3"/>
  <c r="H7" i="3"/>
  <c r="H6" i="3"/>
  <c r="H5" i="3"/>
  <c r="H4" i="3"/>
  <c r="G8" i="3"/>
  <c r="G7" i="3"/>
  <c r="G6" i="3"/>
  <c r="G5" i="3"/>
  <c r="G4" i="3"/>
  <c r="L22" i="15"/>
  <c r="L21" i="15"/>
  <c r="L20" i="15"/>
  <c r="L19" i="15"/>
  <c r="L18" i="15"/>
  <c r="L8" i="15"/>
  <c r="L11" i="15"/>
  <c r="B22" i="15"/>
  <c r="B21" i="15"/>
  <c r="B20" i="15"/>
  <c r="B19" i="15"/>
  <c r="B18" i="15"/>
  <c r="B9" i="3"/>
  <c r="J38" i="15" l="1" a="1"/>
  <c r="T23" i="15"/>
  <c r="U23" i="15" s="1"/>
  <c r="N9" i="22"/>
  <c r="F20" i="20"/>
  <c r="H28" i="20"/>
  <c r="H27" i="20"/>
  <c r="H26" i="20"/>
  <c r="H25" i="20"/>
  <c r="H24" i="20"/>
  <c r="G28" i="20"/>
  <c r="G27" i="20"/>
  <c r="G26" i="20"/>
  <c r="F28" i="20"/>
  <c r="F27" i="20"/>
  <c r="F26" i="20"/>
  <c r="F25" i="20"/>
  <c r="F24" i="20"/>
  <c r="E28" i="20"/>
  <c r="E27" i="20"/>
  <c r="E25" i="20"/>
  <c r="E24" i="20"/>
  <c r="D27" i="20"/>
  <c r="D28" i="20"/>
  <c r="D26" i="20"/>
  <c r="D25" i="20"/>
  <c r="D24" i="20"/>
  <c r="C28" i="20"/>
  <c r="C27" i="20"/>
  <c r="C26" i="20"/>
  <c r="C25" i="20"/>
  <c r="C24" i="20"/>
  <c r="G24" i="20"/>
  <c r="B15" i="20"/>
  <c r="E24" i="16"/>
  <c r="E25" i="16"/>
  <c r="E26" i="16"/>
  <c r="E27" i="16"/>
  <c r="E28" i="16"/>
  <c r="E23" i="16"/>
  <c r="J38" i="15" l="1"/>
  <c r="L38" i="15" s="1"/>
  <c r="K39" i="15"/>
  <c r="J39" i="15"/>
  <c r="K38" i="15"/>
  <c r="F19" i="20"/>
  <c r="B16" i="20"/>
  <c r="C16" i="20"/>
  <c r="D16" i="20"/>
  <c r="E16" i="20"/>
  <c r="F16" i="20"/>
  <c r="B17" i="20"/>
  <c r="C17" i="20"/>
  <c r="D17" i="20"/>
  <c r="E17" i="20"/>
  <c r="F17" i="20"/>
  <c r="B18" i="20"/>
  <c r="C18" i="20"/>
  <c r="D18" i="20"/>
  <c r="E18" i="20"/>
  <c r="F18" i="20"/>
  <c r="B19" i="20"/>
  <c r="C19" i="20"/>
  <c r="G25" i="20" s="1"/>
  <c r="D19" i="20"/>
  <c r="E19" i="20"/>
  <c r="B20" i="20"/>
  <c r="C20" i="20"/>
  <c r="D20" i="20"/>
  <c r="E20" i="20"/>
  <c r="C15" i="20"/>
  <c r="D15" i="20"/>
  <c r="E15" i="20"/>
  <c r="F15" i="20"/>
  <c r="J40" i="15" l="1"/>
  <c r="M38" i="15"/>
  <c r="B11" i="15"/>
  <c r="B8" i="15"/>
  <c r="B9" i="15"/>
  <c r="B10" i="15"/>
  <c r="B7" i="15"/>
  <c r="B24" i="20"/>
  <c r="A18" i="12" l="1"/>
  <c r="A20" i="12"/>
  <c r="A19" i="12"/>
  <c r="A17" i="12"/>
  <c r="A16" i="12"/>
  <c r="A40" i="1"/>
  <c r="A39" i="1"/>
  <c r="A38" i="1"/>
  <c r="A37" i="1"/>
  <c r="A36" i="1"/>
  <c r="A35" i="1"/>
  <c r="A26" i="1"/>
  <c r="A25" i="1"/>
  <c r="A24" i="1"/>
  <c r="A23" i="1"/>
  <c r="A22" i="1"/>
  <c r="A21" i="1"/>
  <c r="B28" i="20" l="1"/>
  <c r="B27" i="20"/>
  <c r="E26" i="20"/>
  <c r="B26" i="20"/>
  <c r="B25" i="20"/>
  <c r="E19" i="15"/>
  <c r="B34" i="20" l="1"/>
  <c r="D34" i="20" s="1"/>
  <c r="B35" i="20"/>
  <c r="D35" i="20" s="1"/>
  <c r="B32" i="20"/>
  <c r="D32" i="20" s="1"/>
  <c r="B37" i="20"/>
  <c r="D37" i="20" s="1"/>
  <c r="B36" i="20"/>
  <c r="D36" i="20" s="1"/>
  <c r="B33" i="20"/>
  <c r="D33" i="20" s="1"/>
  <c r="H18" i="14"/>
  <c r="H19" i="14"/>
  <c r="H20" i="14"/>
  <c r="H17" i="14"/>
  <c r="C18" i="14"/>
  <c r="C19" i="14"/>
  <c r="C20" i="14"/>
  <c r="C17" i="14"/>
  <c r="B18" i="14"/>
  <c r="B19" i="14"/>
  <c r="B20" i="14"/>
  <c r="B17" i="14"/>
  <c r="C13" i="4" l="1"/>
  <c r="G13" i="4" l="1"/>
  <c r="E14" i="4"/>
  <c r="D16" i="4"/>
  <c r="F14" i="4"/>
  <c r="F13" i="4"/>
  <c r="D14" i="4"/>
  <c r="H14" i="4"/>
  <c r="H15" i="4"/>
  <c r="H16" i="4"/>
  <c r="H17" i="4"/>
  <c r="H18" i="4"/>
  <c r="H19" i="4"/>
  <c r="H13" i="4"/>
  <c r="G14" i="4"/>
  <c r="G15" i="4"/>
  <c r="G16" i="4"/>
  <c r="G17" i="4"/>
  <c r="G18" i="4"/>
  <c r="G19" i="4"/>
  <c r="E13" i="4"/>
  <c r="F15" i="4"/>
  <c r="F16" i="4"/>
  <c r="F17" i="4"/>
  <c r="F18" i="4"/>
  <c r="F19" i="4"/>
  <c r="E18" i="4"/>
  <c r="E15" i="4"/>
  <c r="E16" i="4"/>
  <c r="E17" i="4"/>
  <c r="E19" i="4"/>
  <c r="D18" i="4"/>
  <c r="D19" i="4"/>
  <c r="D17" i="4"/>
  <c r="D15" i="4"/>
  <c r="C15" i="4"/>
  <c r="C16" i="4"/>
  <c r="C17" i="4"/>
  <c r="C18" i="4"/>
  <c r="C19" i="4"/>
  <c r="D13" i="4" l="1"/>
  <c r="C14" i="4"/>
  <c r="B18" i="13" l="1"/>
  <c r="B19" i="13"/>
  <c r="B20" i="13"/>
  <c r="B17" i="13"/>
  <c r="C9" i="13" l="1"/>
  <c r="C20" i="13" s="1"/>
  <c r="C8" i="13"/>
  <c r="C19" i="13" s="1"/>
  <c r="C7" i="13"/>
  <c r="C18" i="13" s="1"/>
  <c r="C6" i="13"/>
  <c r="C17" i="13" s="1"/>
  <c r="H18" i="12" l="1"/>
  <c r="B17" i="12" l="1"/>
  <c r="B18" i="12"/>
  <c r="B19" i="12"/>
  <c r="B20" i="12"/>
  <c r="B16" i="12"/>
  <c r="N22" i="15" l="1"/>
  <c r="M19" i="15"/>
  <c r="N19" i="15"/>
  <c r="M20" i="15"/>
  <c r="N20" i="15"/>
  <c r="M21" i="15"/>
  <c r="N21" i="15"/>
  <c r="M22" i="15"/>
  <c r="N18" i="15"/>
  <c r="P19" i="15"/>
  <c r="P20" i="15"/>
  <c r="P21" i="15"/>
  <c r="P22" i="15"/>
  <c r="Q19" i="15"/>
  <c r="R19" i="15"/>
  <c r="Q20" i="15"/>
  <c r="R20" i="15"/>
  <c r="Q21" i="15"/>
  <c r="R21" i="15"/>
  <c r="Q22" i="15"/>
  <c r="R22" i="15"/>
  <c r="Q18" i="15"/>
  <c r="R18" i="15"/>
  <c r="M18" i="15"/>
  <c r="T21" i="15" s="1"/>
  <c r="L9" i="15"/>
  <c r="L10" i="15"/>
  <c r="L7" i="15"/>
  <c r="T22" i="15" l="1"/>
  <c r="U22" i="15" s="1"/>
  <c r="J30" i="15" a="1"/>
  <c r="U21" i="15"/>
  <c r="J50" i="15" a="1"/>
  <c r="T26" i="15"/>
  <c r="U26" i="15" s="1"/>
  <c r="J46" i="15" a="1"/>
  <c r="T25" i="15"/>
  <c r="U25" i="15" s="1"/>
  <c r="J42" i="15" a="1"/>
  <c r="T24" i="15"/>
  <c r="U24" i="15" s="1"/>
  <c r="J34" i="15" a="1"/>
  <c r="C19" i="15"/>
  <c r="D19" i="15"/>
  <c r="F19" i="15"/>
  <c r="G19" i="15"/>
  <c r="H19" i="15"/>
  <c r="C20" i="15"/>
  <c r="D20" i="15"/>
  <c r="E20" i="15"/>
  <c r="F20" i="15"/>
  <c r="G20" i="15"/>
  <c r="H20" i="15"/>
  <c r="C21" i="15"/>
  <c r="D21" i="15"/>
  <c r="E21" i="15"/>
  <c r="F21" i="15"/>
  <c r="G21" i="15"/>
  <c r="H21" i="15"/>
  <c r="C22" i="15"/>
  <c r="D22" i="15"/>
  <c r="E22" i="15"/>
  <c r="F22" i="15"/>
  <c r="G22" i="15"/>
  <c r="H22" i="15"/>
  <c r="D18" i="15"/>
  <c r="E18" i="15"/>
  <c r="F18" i="15"/>
  <c r="G18" i="15"/>
  <c r="H18" i="15"/>
  <c r="C18" i="15"/>
  <c r="D47" i="15" l="1" a="1"/>
  <c r="E48" i="15" s="1"/>
  <c r="D30" i="15" a="1"/>
  <c r="D38" i="15" a="1"/>
  <c r="D38" i="15" s="1"/>
  <c r="F38" i="15" s="1"/>
  <c r="J34" i="15"/>
  <c r="L34" i="15" s="1"/>
  <c r="K34" i="15"/>
  <c r="K35" i="15"/>
  <c r="J35" i="15"/>
  <c r="J46" i="15"/>
  <c r="L46" i="15" s="1"/>
  <c r="K47" i="15"/>
  <c r="K46" i="15"/>
  <c r="J47" i="15"/>
  <c r="D42" i="15" a="1"/>
  <c r="J50" i="15"/>
  <c r="L50" i="15" s="1"/>
  <c r="K51" i="15"/>
  <c r="K50" i="15"/>
  <c r="J51" i="15"/>
  <c r="J42" i="15"/>
  <c r="L42" i="15" s="1"/>
  <c r="J43" i="15"/>
  <c r="K43" i="15"/>
  <c r="K42" i="15"/>
  <c r="D51" i="15" a="1"/>
  <c r="D34" i="15" a="1"/>
  <c r="D47" i="15"/>
  <c r="F47" i="15" s="1"/>
  <c r="E47" i="15"/>
  <c r="D48" i="15"/>
  <c r="K30" i="15"/>
  <c r="J31" i="15"/>
  <c r="J30" i="15"/>
  <c r="L30" i="15" s="1"/>
  <c r="K31" i="15"/>
  <c r="N18" i="14"/>
  <c r="N19" i="14"/>
  <c r="N20" i="14"/>
  <c r="N17" i="14"/>
  <c r="L18" i="14"/>
  <c r="L19" i="14"/>
  <c r="L20" i="14"/>
  <c r="L17" i="14"/>
  <c r="J18" i="14"/>
  <c r="J19" i="14"/>
  <c r="J20" i="14"/>
  <c r="J17" i="14"/>
  <c r="F18" i="14"/>
  <c r="F19" i="14"/>
  <c r="F20" i="14"/>
  <c r="F17" i="14"/>
  <c r="D18" i="14"/>
  <c r="D19" i="14"/>
  <c r="D20" i="14"/>
  <c r="D17" i="14"/>
  <c r="N18" i="13"/>
  <c r="N19" i="13"/>
  <c r="N20" i="13"/>
  <c r="N17" i="13"/>
  <c r="M18" i="13"/>
  <c r="M19" i="13"/>
  <c r="M20" i="13"/>
  <c r="M17" i="13"/>
  <c r="L18" i="13"/>
  <c r="L19" i="13"/>
  <c r="L20" i="13"/>
  <c r="L17" i="13"/>
  <c r="K18" i="13"/>
  <c r="K19" i="13"/>
  <c r="K20" i="13"/>
  <c r="K17" i="13"/>
  <c r="J18" i="13"/>
  <c r="J19" i="13"/>
  <c r="J20" i="13"/>
  <c r="J17" i="13"/>
  <c r="I18" i="13"/>
  <c r="I19" i="13"/>
  <c r="I20" i="13"/>
  <c r="I17" i="13"/>
  <c r="H18" i="13"/>
  <c r="H19" i="13"/>
  <c r="H20" i="13"/>
  <c r="H17" i="13"/>
  <c r="G18" i="13"/>
  <c r="G19" i="13"/>
  <c r="G20" i="13"/>
  <c r="G17" i="13"/>
  <c r="F18" i="13"/>
  <c r="F19" i="13"/>
  <c r="F20" i="13"/>
  <c r="F17" i="13"/>
  <c r="E18" i="13"/>
  <c r="E19" i="13"/>
  <c r="E20" i="13"/>
  <c r="E17" i="13"/>
  <c r="D18" i="13"/>
  <c r="D19" i="13"/>
  <c r="D20" i="13"/>
  <c r="D17" i="13"/>
  <c r="E38" i="15" l="1"/>
  <c r="E39" i="15"/>
  <c r="J52" i="15"/>
  <c r="M50" i="15" s="1"/>
  <c r="D39" i="15"/>
  <c r="D40" i="15" s="1"/>
  <c r="G38" i="15" s="1"/>
  <c r="J48" i="15"/>
  <c r="M46" i="15" s="1"/>
  <c r="J36" i="15"/>
  <c r="M34" i="15" s="1"/>
  <c r="D30" i="15"/>
  <c r="F30" i="15" s="1"/>
  <c r="E31" i="15"/>
  <c r="D31" i="15"/>
  <c r="E30" i="15"/>
  <c r="D34" i="15"/>
  <c r="F34" i="15" s="1"/>
  <c r="E34" i="15"/>
  <c r="E35" i="15"/>
  <c r="D35" i="15"/>
  <c r="J44" i="15"/>
  <c r="M42" i="15" s="1"/>
  <c r="D49" i="15"/>
  <c r="G47" i="15" s="1"/>
  <c r="D51" i="15"/>
  <c r="F51" i="15" s="1"/>
  <c r="E51" i="15"/>
  <c r="E52" i="15"/>
  <c r="D52" i="15"/>
  <c r="J32" i="15"/>
  <c r="M30" i="15" s="1"/>
  <c r="D42" i="15"/>
  <c r="F42" i="15" s="1"/>
  <c r="E42" i="15"/>
  <c r="D43" i="15"/>
  <c r="E43" i="15"/>
  <c r="O9" i="13"/>
  <c r="O20" i="13" s="1"/>
  <c r="O8" i="13"/>
  <c r="O19" i="13" s="1"/>
  <c r="O7" i="13"/>
  <c r="O18" i="13" s="1"/>
  <c r="O6" i="13"/>
  <c r="O17" i="13" s="1"/>
  <c r="O8" i="14"/>
  <c r="O20" i="14" s="1"/>
  <c r="O7" i="14"/>
  <c r="O19" i="14" s="1"/>
  <c r="O6" i="14"/>
  <c r="O18" i="14" s="1"/>
  <c r="O5" i="14"/>
  <c r="O17" i="14" s="1"/>
  <c r="E8" i="14"/>
  <c r="E20" i="14" s="1"/>
  <c r="E7" i="14"/>
  <c r="E19" i="14" s="1"/>
  <c r="E6" i="14"/>
  <c r="E18" i="14" s="1"/>
  <c r="E5" i="14"/>
  <c r="E17" i="14" s="1"/>
  <c r="M8" i="14"/>
  <c r="M20" i="14" s="1"/>
  <c r="K8" i="14"/>
  <c r="K20" i="14" s="1"/>
  <c r="I8" i="14"/>
  <c r="I20" i="14" s="1"/>
  <c r="G8" i="14"/>
  <c r="G20" i="14" s="1"/>
  <c r="M7" i="14"/>
  <c r="M19" i="14" s="1"/>
  <c r="K7" i="14"/>
  <c r="K19" i="14" s="1"/>
  <c r="I7" i="14"/>
  <c r="I19" i="14" s="1"/>
  <c r="G7" i="14"/>
  <c r="G19" i="14" s="1"/>
  <c r="M6" i="14"/>
  <c r="M18" i="14" s="1"/>
  <c r="K6" i="14"/>
  <c r="K18" i="14" s="1"/>
  <c r="I6" i="14"/>
  <c r="I18" i="14" s="1"/>
  <c r="G6" i="14"/>
  <c r="G18" i="14" s="1"/>
  <c r="M5" i="14"/>
  <c r="M17" i="14" s="1"/>
  <c r="K5" i="14"/>
  <c r="K17" i="14" s="1"/>
  <c r="I5" i="14"/>
  <c r="I17" i="14" s="1"/>
  <c r="G5" i="14"/>
  <c r="G17" i="14" s="1"/>
  <c r="D36" i="15" l="1"/>
  <c r="G34" i="15" s="1"/>
  <c r="D32" i="15"/>
  <c r="G30" i="15" s="1"/>
  <c r="D53" i="15"/>
  <c r="G51" i="15" s="1"/>
  <c r="D44" i="15"/>
  <c r="G42" i="15" s="1"/>
  <c r="D17" i="12"/>
  <c r="H17" i="12" l="1"/>
  <c r="H19" i="12"/>
  <c r="H20" i="12"/>
  <c r="H16" i="12"/>
  <c r="E17" i="12"/>
  <c r="G20" i="12"/>
  <c r="C17" i="12"/>
  <c r="F17" i="12"/>
  <c r="G17" i="12"/>
  <c r="C18" i="12"/>
  <c r="D18" i="12"/>
  <c r="E18" i="12"/>
  <c r="F18" i="12"/>
  <c r="G18" i="12"/>
  <c r="C19" i="12"/>
  <c r="D19" i="12"/>
  <c r="E19" i="12"/>
  <c r="F19" i="12"/>
  <c r="G19" i="12"/>
  <c r="C20" i="12"/>
  <c r="D20" i="12"/>
  <c r="E20" i="12"/>
  <c r="F20" i="12"/>
  <c r="D16" i="12"/>
  <c r="E16" i="12"/>
  <c r="F16" i="12"/>
  <c r="G16" i="12"/>
  <c r="C16" i="12"/>
  <c r="H11" i="11"/>
  <c r="H19" i="11" s="1"/>
  <c r="H10" i="11"/>
  <c r="H18" i="11" s="1"/>
  <c r="H9" i="11"/>
  <c r="H17" i="11" s="1"/>
  <c r="H8" i="11"/>
  <c r="H16" i="11" s="1"/>
  <c r="H7" i="11"/>
  <c r="H15" i="11" s="1"/>
  <c r="A19" i="11"/>
  <c r="A16" i="11"/>
  <c r="A17" i="11"/>
  <c r="A18" i="11"/>
  <c r="A15" i="11"/>
  <c r="G19" i="11"/>
  <c r="G18" i="11"/>
  <c r="G17" i="11"/>
  <c r="G16" i="11"/>
  <c r="F19" i="11"/>
  <c r="F18" i="11"/>
  <c r="F17" i="11"/>
  <c r="F16" i="11"/>
  <c r="E19" i="11"/>
  <c r="E18" i="11"/>
  <c r="E17" i="11"/>
  <c r="E16" i="11"/>
  <c r="D11" i="11"/>
  <c r="D19" i="11" s="1"/>
  <c r="D10" i="11"/>
  <c r="D18" i="11" s="1"/>
  <c r="D9" i="11"/>
  <c r="D17" i="11" s="1"/>
  <c r="D8" i="11"/>
  <c r="D16" i="11" s="1"/>
  <c r="D7" i="11"/>
  <c r="C11" i="11"/>
  <c r="C19" i="11" s="1"/>
  <c r="C10" i="11"/>
  <c r="C18" i="11" s="1"/>
  <c r="C9" i="11"/>
  <c r="C17" i="11" s="1"/>
  <c r="C8" i="11"/>
  <c r="C16" i="11" s="1"/>
  <c r="C7" i="11"/>
  <c r="B19" i="11"/>
  <c r="B18" i="11"/>
  <c r="B17" i="11"/>
  <c r="B16" i="11"/>
  <c r="C7" i="10"/>
  <c r="D7" i="10"/>
  <c r="E7" i="10"/>
  <c r="F7" i="10"/>
  <c r="G7" i="10"/>
  <c r="H11" i="10"/>
  <c r="H20" i="10" s="1"/>
  <c r="C8" i="10"/>
  <c r="C17" i="10" s="1"/>
  <c r="D8" i="10"/>
  <c r="D17" i="10" s="1"/>
  <c r="E8" i="10"/>
  <c r="E17" i="10" s="1"/>
  <c r="F8" i="10"/>
  <c r="F17" i="10" s="1"/>
  <c r="G8" i="10"/>
  <c r="G17" i="10" s="1"/>
  <c r="H10" i="10"/>
  <c r="H19" i="10" s="1"/>
  <c r="C9" i="10"/>
  <c r="D9" i="10"/>
  <c r="D18" i="10" s="1"/>
  <c r="E9" i="10"/>
  <c r="E18" i="10" s="1"/>
  <c r="F9" i="10"/>
  <c r="F18" i="10" s="1"/>
  <c r="G9" i="10"/>
  <c r="G18" i="10" s="1"/>
  <c r="H9" i="10"/>
  <c r="H18" i="10" s="1"/>
  <c r="C10" i="10"/>
  <c r="C19" i="10" s="1"/>
  <c r="D10" i="10"/>
  <c r="D19" i="10" s="1"/>
  <c r="E10" i="10"/>
  <c r="E19" i="10" s="1"/>
  <c r="F10" i="10"/>
  <c r="F19" i="10" s="1"/>
  <c r="G10" i="10"/>
  <c r="G19" i="10" s="1"/>
  <c r="H8" i="10"/>
  <c r="H17" i="10" s="1"/>
  <c r="C11" i="10"/>
  <c r="C20" i="10" s="1"/>
  <c r="D11" i="10"/>
  <c r="D20" i="10" s="1"/>
  <c r="E11" i="10"/>
  <c r="E20" i="10" s="1"/>
  <c r="F11" i="10"/>
  <c r="F20" i="10" s="1"/>
  <c r="G11" i="10"/>
  <c r="G20" i="10" s="1"/>
  <c r="H7" i="10"/>
  <c r="H16" i="10" s="1"/>
  <c r="C18" i="10"/>
  <c r="C16" i="10"/>
  <c r="G16" i="10"/>
  <c r="A17" i="10"/>
  <c r="A18" i="10"/>
  <c r="A19" i="10"/>
  <c r="A20" i="10"/>
  <c r="A16" i="10"/>
  <c r="B7" i="10"/>
  <c r="B8" i="10"/>
  <c r="B17" i="10" s="1"/>
  <c r="B9" i="10"/>
  <c r="B18" i="10" s="1"/>
  <c r="B10" i="10"/>
  <c r="B19" i="10" s="1"/>
  <c r="B11" i="10"/>
  <c r="B20" i="10" s="1"/>
  <c r="F16" i="10" l="1"/>
  <c r="M9" i="10" a="1"/>
  <c r="E16" i="10"/>
  <c r="M3" i="10" a="1"/>
  <c r="C15" i="11"/>
  <c r="J11" i="11" a="1"/>
  <c r="G15" i="11"/>
  <c r="B31" i="11" s="1"/>
  <c r="D31" i="11" s="1"/>
  <c r="M17" i="11" a="1"/>
  <c r="F15" i="11"/>
  <c r="B30" i="11" s="1"/>
  <c r="D30" i="11" s="1"/>
  <c r="M11" i="11" a="1"/>
  <c r="B16" i="10"/>
  <c r="J3" i="10" a="1"/>
  <c r="D16" i="10"/>
  <c r="J15" i="10" a="1"/>
  <c r="D15" i="11"/>
  <c r="J17" i="11" a="1"/>
  <c r="B15" i="11"/>
  <c r="B26" i="11" s="1"/>
  <c r="J5" i="11" a="1"/>
  <c r="M15" i="10" a="1"/>
  <c r="J9" i="10" a="1"/>
  <c r="E15" i="11"/>
  <c r="M5" i="11" a="1"/>
  <c r="B27" i="11"/>
  <c r="D27" i="11" s="1"/>
  <c r="B28" i="11"/>
  <c r="D28" i="11" s="1"/>
  <c r="D26" i="11"/>
  <c r="B29" i="10"/>
  <c r="E29" i="10" s="1"/>
  <c r="B33" i="10"/>
  <c r="E33" i="10" s="1"/>
  <c r="B29" i="11"/>
  <c r="D29" i="11" s="1"/>
  <c r="B34" i="10"/>
  <c r="E34" i="10" s="1"/>
  <c r="B32" i="10"/>
  <c r="E32" i="10" s="1"/>
  <c r="B31" i="10"/>
  <c r="E31" i="10" s="1"/>
  <c r="B30" i="10"/>
  <c r="E30" i="10" s="1"/>
  <c r="E7" i="3"/>
  <c r="P7" i="3" s="1"/>
  <c r="J9" i="10" l="1"/>
  <c r="K10" i="10"/>
  <c r="J10" i="10"/>
  <c r="J11" i="10" s="1"/>
  <c r="J12" i="10" s="1"/>
  <c r="K9" i="10"/>
  <c r="M18" i="11"/>
  <c r="N18" i="11"/>
  <c r="M17" i="11"/>
  <c r="N17" i="11"/>
  <c r="N3" i="10"/>
  <c r="M4" i="10"/>
  <c r="M3" i="10"/>
  <c r="M5" i="10" s="1"/>
  <c r="M6" i="10" s="1"/>
  <c r="N4" i="10"/>
  <c r="M15" i="10"/>
  <c r="M16" i="10"/>
  <c r="N15" i="10"/>
  <c r="N16" i="10"/>
  <c r="K18" i="11"/>
  <c r="J17" i="11"/>
  <c r="K17" i="11"/>
  <c r="J18" i="11"/>
  <c r="J19" i="11" s="1"/>
  <c r="J20" i="11" s="1"/>
  <c r="M5" i="11"/>
  <c r="N5" i="11"/>
  <c r="M6" i="11"/>
  <c r="M7" i="11" s="1"/>
  <c r="M8" i="11" s="1"/>
  <c r="N6" i="11"/>
  <c r="J15" i="10"/>
  <c r="K16" i="10"/>
  <c r="J16" i="10"/>
  <c r="J17" i="10" s="1"/>
  <c r="J18" i="10" s="1"/>
  <c r="K15" i="10"/>
  <c r="J12" i="11"/>
  <c r="K12" i="11"/>
  <c r="J11" i="11"/>
  <c r="K11" i="11"/>
  <c r="M9" i="10"/>
  <c r="N10" i="10"/>
  <c r="N9" i="10"/>
  <c r="M10" i="10"/>
  <c r="J3" i="10"/>
  <c r="J4" i="10"/>
  <c r="K3" i="10"/>
  <c r="K4" i="10"/>
  <c r="K5" i="11"/>
  <c r="K6" i="11"/>
  <c r="J6" i="11"/>
  <c r="J5" i="11"/>
  <c r="M11" i="11"/>
  <c r="M12" i="11"/>
  <c r="N11" i="11"/>
  <c r="N12" i="11"/>
  <c r="E9" i="3"/>
  <c r="P9" i="3" s="1"/>
  <c r="E8" i="3"/>
  <c r="P8" i="3" s="1"/>
  <c r="E6" i="3"/>
  <c r="P6" i="3" s="1"/>
  <c r="E5" i="3"/>
  <c r="P5" i="3" s="1"/>
  <c r="E4" i="3"/>
  <c r="P4" i="3" s="1"/>
  <c r="D9" i="3"/>
  <c r="O9" i="3" s="1"/>
  <c r="D7" i="3"/>
  <c r="O7" i="3" s="1"/>
  <c r="D8" i="3"/>
  <c r="O8" i="3" s="1"/>
  <c r="D5" i="3"/>
  <c r="O5" i="3" s="1"/>
  <c r="D6" i="3"/>
  <c r="O6" i="3" s="1"/>
  <c r="D4" i="3"/>
  <c r="O4" i="3" s="1"/>
  <c r="B6" i="3"/>
  <c r="M6" i="3" s="1"/>
  <c r="C9" i="3"/>
  <c r="N9" i="3" s="1"/>
  <c r="C8" i="3"/>
  <c r="N8" i="3" s="1"/>
  <c r="C7" i="3"/>
  <c r="N7" i="3" s="1"/>
  <c r="C6" i="3"/>
  <c r="N6" i="3" s="1"/>
  <c r="C5" i="3"/>
  <c r="N5" i="3" s="1"/>
  <c r="C4" i="3"/>
  <c r="B8" i="3"/>
  <c r="M8" i="3" s="1"/>
  <c r="B7" i="3"/>
  <c r="M7" i="3" s="1"/>
  <c r="B5" i="3"/>
  <c r="M5" i="3" s="1"/>
  <c r="B4" i="3"/>
  <c r="M4" i="3" s="1"/>
  <c r="J7" i="11" l="1"/>
  <c r="J8" i="11" s="1"/>
  <c r="M11" i="10"/>
  <c r="M12" i="10" s="1"/>
  <c r="M13" i="11"/>
  <c r="M14" i="11" s="1"/>
  <c r="J5" i="10"/>
  <c r="J6" i="10" s="1"/>
  <c r="M17" i="10"/>
  <c r="M18" i="10" s="1"/>
  <c r="J13" i="11"/>
  <c r="J14" i="11" s="1"/>
  <c r="M19" i="11"/>
  <c r="M20" i="11" s="1"/>
  <c r="H21" i="1"/>
  <c r="H35" i="1"/>
  <c r="H36" i="1" l="1"/>
  <c r="H37" i="1"/>
  <c r="H38" i="1"/>
  <c r="H39" i="1"/>
  <c r="H40" i="1"/>
  <c r="H22" i="1"/>
  <c r="H26" i="1"/>
  <c r="H25" i="1"/>
  <c r="H24" i="1"/>
  <c r="H23" i="1"/>
</calcChain>
</file>

<file path=xl/sharedStrings.xml><?xml version="1.0" encoding="utf-8"?>
<sst xmlns="http://schemas.openxmlformats.org/spreadsheetml/2006/main" count="459" uniqueCount="141">
  <si>
    <t xml:space="preserve">LN CATION </t>
  </si>
  <si>
    <t>Area Fit</t>
  </si>
  <si>
    <t>LN Anion</t>
  </si>
  <si>
    <t>1/T</t>
  </si>
  <si>
    <t xml:space="preserve">Xylan concentration </t>
  </si>
  <si>
    <t>15%C</t>
  </si>
  <si>
    <t>15C</t>
  </si>
  <si>
    <t>15%X</t>
  </si>
  <si>
    <t xml:space="preserve">xylan </t>
  </si>
  <si>
    <t xml:space="preserve">cellulose </t>
  </si>
  <si>
    <t>Anion</t>
  </si>
  <si>
    <t>Ecation</t>
  </si>
  <si>
    <t>Eanion</t>
  </si>
  <si>
    <t>cellulose</t>
  </si>
  <si>
    <t xml:space="preserve"> </t>
  </si>
  <si>
    <t>40C</t>
  </si>
  <si>
    <t xml:space="preserve">Anion </t>
  </si>
  <si>
    <t>Xylan concentrations</t>
  </si>
  <si>
    <t xml:space="preserve">Xylan concentrations </t>
  </si>
  <si>
    <t xml:space="preserve">Cations </t>
  </si>
  <si>
    <t>Anions</t>
  </si>
  <si>
    <t>0.15C</t>
  </si>
  <si>
    <t>50C</t>
  </si>
  <si>
    <t>Cellulose</t>
  </si>
  <si>
    <t>Peak 1</t>
  </si>
  <si>
    <t>Peak 2</t>
  </si>
  <si>
    <t>Peak 3</t>
  </si>
  <si>
    <t>Peak 4</t>
  </si>
  <si>
    <t>Peak 5</t>
  </si>
  <si>
    <t>Peak 6</t>
  </si>
  <si>
    <t>Peak 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</si>
  <si>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</si>
  <si>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</si>
  <si>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Temp</t>
  </si>
  <si>
    <t>Dan/Dcat</t>
  </si>
  <si>
    <t>Area</t>
  </si>
  <si>
    <t>.</t>
  </si>
  <si>
    <t xml:space="preserve">Xylan concentartions </t>
  </si>
  <si>
    <t>T/Eta</t>
  </si>
  <si>
    <t>D cation</t>
  </si>
  <si>
    <t>D anion</t>
  </si>
  <si>
    <t>T/eta</t>
  </si>
  <si>
    <t>Danion</t>
  </si>
  <si>
    <t xml:space="preserve">CELLULOSE </t>
  </si>
  <si>
    <t xml:space="preserve">Low field relaxation </t>
  </si>
  <si>
    <t>TEMP (C)</t>
  </si>
  <si>
    <t>T2/s</t>
  </si>
  <si>
    <t>TEMP (K)</t>
  </si>
  <si>
    <t xml:space="preserve">XYLAN </t>
  </si>
  <si>
    <t>15%Cellulose</t>
  </si>
  <si>
    <t xml:space="preserve">T1/s </t>
  </si>
  <si>
    <t>Ln (T1)</t>
  </si>
  <si>
    <t>0.15c</t>
  </si>
  <si>
    <t>Temperature</t>
  </si>
  <si>
    <t>Eta</t>
  </si>
  <si>
    <t>Ln (η)</t>
  </si>
  <si>
    <t>Ln (η /pa.s)</t>
  </si>
  <si>
    <t xml:space="preserve">D anion </t>
  </si>
  <si>
    <t xml:space="preserve">Dcation </t>
  </si>
  <si>
    <t xml:space="preserve">RATIO OF ERROR </t>
  </si>
  <si>
    <t>T1/s</t>
  </si>
  <si>
    <t>T1 /s</t>
  </si>
  <si>
    <t>15% C</t>
  </si>
  <si>
    <t>T/η</t>
  </si>
  <si>
    <t>Ln(T/η)</t>
  </si>
  <si>
    <t>Ln(T1/s)</t>
  </si>
  <si>
    <t xml:space="preserve">15% Cellulose </t>
  </si>
  <si>
    <t>ln Eta</t>
  </si>
  <si>
    <t>Gradient</t>
  </si>
  <si>
    <t>E=gradient*R</t>
  </si>
  <si>
    <t>Slope</t>
  </si>
  <si>
    <t xml:space="preserve">Xylan </t>
  </si>
  <si>
    <t xml:space="preserve">Cellulose </t>
  </si>
  <si>
    <t xml:space="preserve">Viscosity </t>
  </si>
  <si>
    <t xml:space="preserve">T1 low field relaxation time </t>
  </si>
  <si>
    <t>CON</t>
  </si>
  <si>
    <t xml:space="preserve">T2 low field relaxation time </t>
  </si>
  <si>
    <t xml:space="preserve">T/Eta </t>
  </si>
  <si>
    <t xml:space="preserve">Ln Eta </t>
  </si>
  <si>
    <t xml:space="preserve">Gradient </t>
  </si>
  <si>
    <t>E</t>
  </si>
  <si>
    <t>Ea</t>
  </si>
  <si>
    <t>CONC</t>
  </si>
  <si>
    <t>at40.2C</t>
  </si>
  <si>
    <t>Rate(s-1)</t>
  </si>
  <si>
    <t>Eta (Pa-s)</t>
  </si>
  <si>
    <t>at40 C</t>
  </si>
  <si>
    <t>value</t>
  </si>
  <si>
    <t>error</t>
  </si>
  <si>
    <t>gradient</t>
  </si>
  <si>
    <t>intercept</t>
  </si>
  <si>
    <t xml:space="preserve">Eactivatin  energy of visositry </t>
  </si>
  <si>
    <t>uncertainty = activation energy values * the ratio of error/100</t>
  </si>
  <si>
    <t xml:space="preserve">Error </t>
  </si>
  <si>
    <t>E (activation energy)</t>
  </si>
  <si>
    <t xml:space="preserve">
</t>
  </si>
  <si>
    <t>∆σ/σ</t>
  </si>
  <si>
    <t>Gradient/Error</t>
  </si>
  <si>
    <t xml:space="preserve">uncertainty </t>
  </si>
  <si>
    <t xml:space="preserve">Rh </t>
  </si>
  <si>
    <t xml:space="preserve">con, % </t>
  </si>
  <si>
    <t xml:space="preserve">Stockes-Einstein-Debye </t>
  </si>
  <si>
    <t>Rh</t>
  </si>
  <si>
    <t>cation</t>
  </si>
  <si>
    <t>anion</t>
  </si>
  <si>
    <t>ƒ=KT/*η4pi()*Rh</t>
  </si>
  <si>
    <t>c, %</t>
  </si>
  <si>
    <t>15c</t>
  </si>
  <si>
    <t>Diffudion coefficient  of cation</t>
  </si>
  <si>
    <t xml:space="preserve">Anions  </t>
  </si>
  <si>
    <t>20c</t>
  </si>
  <si>
    <t>30c</t>
  </si>
  <si>
    <t>40c</t>
  </si>
  <si>
    <t>50c</t>
  </si>
  <si>
    <t>60c</t>
  </si>
  <si>
    <t>ln eta</t>
  </si>
  <si>
    <t>p</t>
  </si>
  <si>
    <t>x</t>
  </si>
  <si>
    <t>sum</t>
  </si>
  <si>
    <t>c [eta]</t>
  </si>
  <si>
    <t>relative viscosity</t>
  </si>
  <si>
    <t xml:space="preserve">20c </t>
  </si>
  <si>
    <t>Concentration w/w %</t>
  </si>
  <si>
    <t>Activation energy kJ/mol</t>
  </si>
  <si>
    <t xml:space="preserve">30c </t>
  </si>
  <si>
    <t>specific viscosity</t>
  </si>
  <si>
    <t xml:space="preserve">40c </t>
  </si>
  <si>
    <t xml:space="preserve">50c </t>
  </si>
  <si>
    <t>[eta]</t>
  </si>
  <si>
    <t>(from our article)</t>
  </si>
  <si>
    <t>xylan</t>
  </si>
  <si>
    <t>cellulose acetate</t>
  </si>
  <si>
    <t>1%c</t>
  </si>
  <si>
    <t>15%c</t>
  </si>
  <si>
    <t xml:space="preserve">cellulsoe </t>
  </si>
  <si>
    <t>T2 /s</t>
  </si>
  <si>
    <t>Ln(T2/s)</t>
  </si>
  <si>
    <t xml:space="preserve">T/ms </t>
  </si>
  <si>
    <t xml:space="preserve">T/s </t>
  </si>
  <si>
    <t xml:space="preserve">pure of emimac </t>
  </si>
  <si>
    <t>F'=2/3*F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</si>
</sst>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"/>
    <numFmt numFmtId="165" formatCode="0.0"/>
  </numFmts>
  <fonts count="3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FA7D0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4"/>
      <color theme="1"/>
      <name val="Arial"/>
      <family val="2"/>
    </font>
    <font>
      <b/>
      <sz val="12"/>
      <color rgb="FFFA7D00"/>
      <name val="Arial"/>
      <family val="2"/>
    </font>
    <font>
      <sz val="14"/>
      <color rgb="FF006100"/>
      <name val="Arial"/>
      <family val="2"/>
    </font>
    <font>
      <sz val="14"/>
      <color rgb="FF3F3F76"/>
      <name val="Arial"/>
      <family val="2"/>
    </font>
    <font>
      <sz val="14"/>
      <color rgb="FF9C0006"/>
      <name val="Arial"/>
      <family val="2"/>
    </font>
    <font>
      <sz val="16"/>
      <color rgb="FFFF0000"/>
      <name val="Arial"/>
      <family val="2"/>
    </font>
    <font>
      <sz val="14"/>
      <color theme="1"/>
      <name val="Calibri"/>
      <family val="2"/>
      <scheme val="minor"/>
    </font>
    <font>
      <sz val="14"/>
      <color indexed="8"/>
      <name val="Arial"/>
      <family val="2"/>
    </font>
    <font>
      <sz val="14"/>
      <color indexed="8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color rgb="FF3F3F3F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8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6" fillId="6" borderId="1" applyNumberFormat="0" applyAlignment="0" applyProtection="0"/>
    <xf numFmtId="0" fontId="7" fillId="7" borderId="2" applyNumberFormat="0" applyFont="0" applyAlignment="0" applyProtection="0"/>
    <xf numFmtId="0" fontId="1" fillId="0" borderId="0"/>
    <xf numFmtId="9" fontId="7" fillId="0" borderId="0" applyFont="0" applyFill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4" fillId="6" borderId="8" applyNumberFormat="0" applyAlignment="0" applyProtection="0"/>
    <xf numFmtId="0" fontId="25" fillId="0" borderId="9" applyNumberFormat="0" applyFill="0" applyAlignment="0" applyProtection="0"/>
    <xf numFmtId="0" fontId="26" fillId="14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1" applyNumberFormat="0" applyFill="0" applyAlignment="0" applyProtection="0"/>
    <xf numFmtId="0" fontId="30" fillId="15" borderId="0" applyNumberFormat="0" applyBorder="0" applyAlignment="0" applyProtection="0"/>
    <xf numFmtId="0" fontId="7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7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30" fillId="36" borderId="0" applyNumberFormat="0" applyBorder="0" applyAlignment="0" applyProtection="0"/>
    <xf numFmtId="0" fontId="1" fillId="7" borderId="2" applyNumberFormat="0" applyFont="0" applyAlignment="0" applyProtection="0"/>
  </cellStyleXfs>
  <cellXfs count="80">
    <xf numFmtId="0" fontId="0" fillId="0" borderId="0" xfId="0"/>
    <xf numFmtId="9" fontId="2" fillId="2" borderId="1" xfId="1" applyNumberFormat="1" applyBorder="1"/>
    <xf numFmtId="9" fontId="4" fillId="4" borderId="0" xfId="3" applyNumberFormat="1"/>
    <xf numFmtId="0" fontId="4" fillId="4" borderId="0" xfId="3"/>
    <xf numFmtId="0" fontId="6" fillId="6" borderId="1" xfId="5"/>
    <xf numFmtId="0" fontId="3" fillId="3" borderId="0" xfId="2"/>
    <xf numFmtId="0" fontId="2" fillId="2" borderId="0" xfId="1"/>
    <xf numFmtId="9" fontId="0" fillId="0" borderId="0" xfId="0" applyNumberFormat="1"/>
    <xf numFmtId="0" fontId="5" fillId="5" borderId="1" xfId="4"/>
    <xf numFmtId="9" fontId="5" fillId="5" borderId="1" xfId="4" applyNumberFormat="1"/>
    <xf numFmtId="0" fontId="2" fillId="2" borderId="1" xfId="1" applyBorder="1"/>
    <xf numFmtId="11" fontId="0" fillId="0" borderId="0" xfId="0" applyNumberFormat="1"/>
    <xf numFmtId="0" fontId="5" fillId="5" borderId="1" xfId="4" applyNumberFormat="1"/>
    <xf numFmtId="0" fontId="0" fillId="0" borderId="0" xfId="0" applyNumberFormat="1"/>
    <xf numFmtId="9" fontId="2" fillId="2" borderId="0" xfId="1" applyNumberFormat="1"/>
    <xf numFmtId="0" fontId="0" fillId="7" borderId="2" xfId="6" applyFont="1"/>
    <xf numFmtId="0" fontId="3" fillId="3" borderId="0" xfId="2" applyNumberFormat="1"/>
    <xf numFmtId="9" fontId="3" fillId="3" borderId="0" xfId="2" applyNumberFormat="1"/>
    <xf numFmtId="0" fontId="0" fillId="0" borderId="3" xfId="0" applyBorder="1"/>
    <xf numFmtId="0" fontId="4" fillId="4" borderId="3" xfId="3" applyBorder="1"/>
    <xf numFmtId="0" fontId="2" fillId="2" borderId="3" xfId="1" applyBorder="1"/>
    <xf numFmtId="0" fontId="8" fillId="0" borderId="0" xfId="0" applyFont="1"/>
    <xf numFmtId="0" fontId="8" fillId="0" borderId="0" xfId="7" applyFont="1" applyFill="1"/>
    <xf numFmtId="0" fontId="0" fillId="8" borderId="0" xfId="0" applyFill="1"/>
    <xf numFmtId="0" fontId="0" fillId="0" borderId="0" xfId="0" applyFill="1"/>
    <xf numFmtId="0" fontId="7" fillId="10" borderId="0" xfId="10"/>
    <xf numFmtId="0" fontId="7" fillId="9" borderId="0" xfId="9"/>
    <xf numFmtId="9" fontId="7" fillId="9" borderId="0" xfId="9" applyNumberFormat="1"/>
    <xf numFmtId="0" fontId="1" fillId="0" borderId="0" xfId="7"/>
    <xf numFmtId="0" fontId="11" fillId="0" borderId="0" xfId="0" applyFont="1"/>
    <xf numFmtId="0" fontId="12" fillId="6" borderId="1" xfId="5" applyFont="1"/>
    <xf numFmtId="0" fontId="13" fillId="2" borderId="1" xfId="1" applyFont="1" applyBorder="1"/>
    <xf numFmtId="0" fontId="13" fillId="2" borderId="0" xfId="1" applyFont="1"/>
    <xf numFmtId="0" fontId="14" fillId="5" borderId="1" xfId="4" applyFont="1"/>
    <xf numFmtId="0" fontId="15" fillId="3" borderId="0" xfId="2" applyFont="1"/>
    <xf numFmtId="9" fontId="11" fillId="0" borderId="0" xfId="0" applyNumberFormat="1" applyFont="1"/>
    <xf numFmtId="0" fontId="15" fillId="3" borderId="0" xfId="2" applyNumberFormat="1" applyFont="1"/>
    <xf numFmtId="1" fontId="0" fillId="0" borderId="0" xfId="0" applyNumberFormat="1"/>
    <xf numFmtId="0" fontId="5" fillId="5" borderId="1" xfId="8" applyNumberFormat="1" applyFont="1" applyFill="1" applyBorder="1"/>
    <xf numFmtId="0" fontId="16" fillId="0" borderId="0" xfId="0" applyFont="1"/>
    <xf numFmtId="0" fontId="4" fillId="4" borderId="1" xfId="3" applyBorder="1"/>
    <xf numFmtId="0" fontId="8" fillId="0" borderId="0" xfId="0" applyFont="1" applyFill="1"/>
    <xf numFmtId="0" fontId="1" fillId="0" borderId="0" xfId="7" applyFill="1"/>
    <xf numFmtId="0" fontId="0" fillId="0" borderId="0" xfId="0" applyNumberFormat="1"/>
    <xf numFmtId="0" fontId="1" fillId="0" borderId="0" xfId="7" applyBorder="1"/>
    <xf numFmtId="0" fontId="0" fillId="12" borderId="0" xfId="0" applyFill="1"/>
    <xf numFmtId="9" fontId="0" fillId="12" borderId="0" xfId="0" applyNumberFormat="1" applyFill="1"/>
    <xf numFmtId="0" fontId="0" fillId="0" borderId="4" xfId="0" applyBorder="1"/>
    <xf numFmtId="0" fontId="0" fillId="13" borderId="0" xfId="0" applyFill="1"/>
    <xf numFmtId="0" fontId="10" fillId="13" borderId="0" xfId="0" applyNumberFormat="1" applyFont="1" applyFill="1" applyBorder="1" applyAlignment="1" applyProtection="1"/>
    <xf numFmtId="0" fontId="9" fillId="13" borderId="0" xfId="0" applyNumberFormat="1" applyFont="1" applyFill="1" applyBorder="1" applyAlignment="1" applyProtection="1"/>
    <xf numFmtId="0" fontId="17" fillId="0" borderId="0" xfId="0" applyFont="1"/>
    <xf numFmtId="0" fontId="17" fillId="11" borderId="0" xfId="0" applyFont="1" applyFill="1"/>
    <xf numFmtId="0" fontId="18" fillId="11" borderId="0" xfId="0" applyNumberFormat="1" applyFont="1" applyFill="1" applyBorder="1" applyAlignment="1" applyProtection="1"/>
    <xf numFmtId="0" fontId="19" fillId="11" borderId="0" xfId="0" applyNumberFormat="1" applyFont="1" applyFill="1" applyBorder="1" applyAlignment="1" applyProtection="1"/>
    <xf numFmtId="0" fontId="0" fillId="0" borderId="0" xfId="0" applyAlignment="1">
      <alignment wrapText="1"/>
    </xf>
    <xf numFmtId="0" fontId="0" fillId="7" borderId="2" xfId="44" applyFont="1"/>
    <xf numFmtId="9" fontId="6" fillId="6" borderId="1" xfId="5" applyNumberFormat="1"/>
    <xf numFmtId="0" fontId="7" fillId="9" borderId="1" xfId="9" applyBorder="1"/>
    <xf numFmtId="0" fontId="4" fillId="4" borderId="2" xfId="3" applyBorder="1"/>
    <xf numFmtId="0" fontId="29" fillId="7" borderId="2" xfId="44" applyFont="1"/>
    <xf numFmtId="0" fontId="7" fillId="20" borderId="8" xfId="27" applyBorder="1"/>
    <xf numFmtId="0" fontId="3" fillId="3" borderId="0" xfId="2"/>
    <xf numFmtId="0" fontId="27" fillId="0" borderId="0" xfId="0" applyFont="1"/>
    <xf numFmtId="0" fontId="0" fillId="0" borderId="0" xfId="0"/>
    <xf numFmtId="0" fontId="1" fillId="0" borderId="0" xfId="7"/>
    <xf numFmtId="0" fontId="5" fillId="5" borderId="1" xfId="4"/>
    <xf numFmtId="0" fontId="6" fillId="6" borderId="1" xfId="5"/>
    <xf numFmtId="0" fontId="2" fillId="2" borderId="0" xfId="1"/>
    <xf numFmtId="0" fontId="3" fillId="7" borderId="2" xfId="44" applyFont="1"/>
    <xf numFmtId="0" fontId="7" fillId="31" borderId="0" xfId="38"/>
    <xf numFmtId="164" fontId="0" fillId="0" borderId="0" xfId="0" applyNumberFormat="1"/>
    <xf numFmtId="0" fontId="0" fillId="37" borderId="0" xfId="0" applyFill="1"/>
    <xf numFmtId="11" fontId="0" fillId="37" borderId="0" xfId="0" applyNumberFormat="1" applyFill="1"/>
    <xf numFmtId="0" fontId="0" fillId="37" borderId="0" xfId="0" applyNumberFormat="1" applyFill="1"/>
    <xf numFmtId="11" fontId="2" fillId="2" borderId="0" xfId="1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9" borderId="0" xfId="9" applyFont="1"/>
    <xf numFmtId="0" fontId="31" fillId="0" borderId="0" xfId="0" applyFont="1"/>
  </cellXfs>
  <cellStyles count="45">
    <cellStyle name="20% - Accent1" xfId="23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7" builtinId="46" customBuiltin="1"/>
    <cellStyle name="20% - Accent6" xfId="41" builtinId="50" customBuiltin="1"/>
    <cellStyle name="40% - Accent1" xfId="9" builtinId="31" customBuiltin="1"/>
    <cellStyle name="40% - Accent2" xfId="27" builtinId="35" customBuiltin="1"/>
    <cellStyle name="40% - Accent3" xfId="31" builtinId="39" customBuiltin="1"/>
    <cellStyle name="40% - Accent4" xfId="10" builtinId="43" customBuiltin="1"/>
    <cellStyle name="40% - Accent5" xfId="38" builtinId="47" customBuiltin="1"/>
    <cellStyle name="40% - Accent6" xfId="42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2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6" builtinId="45" customBuiltin="1"/>
    <cellStyle name="Accent6" xfId="40" builtinId="49" customBuiltin="1"/>
    <cellStyle name="Bad" xfId="2" builtinId="27" customBuiltin="1"/>
    <cellStyle name="Calculation" xfId="5" builtinId="22" customBuiltin="1"/>
    <cellStyle name="Check Cell" xfId="18" builtinId="23" customBuiltin="1"/>
    <cellStyle name="Explanatory Text" xfId="20" builtinId="53" customBuiltin="1"/>
    <cellStyle name="Good" xfId="1" builtinId="26" customBuiltin="1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Input" xfId="4" builtinId="20" customBuiltin="1"/>
    <cellStyle name="Linked Cell" xfId="17" builtinId="24" customBuiltin="1"/>
    <cellStyle name="Neutral" xfId="3" builtinId="28" customBuiltin="1"/>
    <cellStyle name="Normal" xfId="0" builtinId="0"/>
    <cellStyle name="Normal 2" xfId="7"/>
    <cellStyle name="Note" xfId="6" builtinId="10" customBuiltin="1"/>
    <cellStyle name="Note 2" xfId="44"/>
    <cellStyle name="Output" xfId="16" builtinId="21" customBuiltin="1"/>
    <cellStyle name="Percent" xfId="8" builtinId="5"/>
    <cellStyle name="Title" xfId="11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8E0C72"/>
      <color rgb="FFA5A5A5"/>
      <color rgb="FFFF0000"/>
      <color rgb="FFFF00FF"/>
      <color rgb="FF782C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3.xml"/><Relationship Id="rId1" Type="http://schemas.microsoft.com/office/2011/relationships/chartStyle" Target="style43.xml"/><Relationship Id="rId4" Type="http://schemas.openxmlformats.org/officeDocument/2006/relationships/chartUserShapes" Target="../drawings/drawing21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39810410856177"/>
          <c:y val="3.4216068536010995E-2"/>
          <c:w val="0.79104811755463955"/>
          <c:h val="0.80754269271315415"/>
        </c:manualLayout>
      </c:layout>
      <c:scatterChart>
        <c:scatterStyle val="lineMarker"/>
        <c:varyColors val="0"/>
        <c:ser>
          <c:idx val="5"/>
          <c:order val="0"/>
          <c:tx>
            <c:strRef>
              <c:f>'Diff VS wt% of xylan and temp'!$A$26</c:f>
              <c:strCache>
                <c:ptCount val="1"/>
                <c:pt idx="0">
                  <c:v>70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0"/>
            <c:spPr>
              <a:noFill/>
              <a:ln w="19050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errBars>
            <c:errDir val="y"/>
            <c:errBarType val="both"/>
            <c:errValType val="percentage"/>
            <c:noEndCap val="0"/>
            <c:val val="2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'Diff VS wt% of xylan and temp'!$B$20:$G$20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</c:numCache>
            </c:numRef>
          </c:xVal>
          <c:yVal>
            <c:numRef>
              <c:f>'Diff VS wt% of xylan and temp'!$B$26:$G$26</c:f>
              <c:numCache>
                <c:formatCode>0.00E+00</c:formatCode>
                <c:ptCount val="6"/>
                <c:pt idx="0">
                  <c:v>1.0628053333333334E-10</c:v>
                </c:pt>
                <c:pt idx="1">
                  <c:v>1.0294999999999999E-10</c:v>
                </c:pt>
                <c:pt idx="2">
                  <c:v>7.7884999999999998E-11</c:v>
                </c:pt>
                <c:pt idx="3">
                  <c:v>8.0584999999999999E-11</c:v>
                </c:pt>
                <c:pt idx="4">
                  <c:v>5.3420000000000001E-11</c:v>
                </c:pt>
                <c:pt idx="5">
                  <c:v>3.6943333333333336E-11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10D-4AFB-9437-297D82E484E6}"/>
            </c:ext>
          </c:extLst>
        </c:ser>
        <c:ser>
          <c:idx val="4"/>
          <c:order val="1"/>
          <c:tx>
            <c:strRef>
              <c:f>'Diff VS wt% of xylan and temp'!$A$25</c:f>
              <c:strCache>
                <c:ptCount val="1"/>
                <c:pt idx="0">
                  <c:v>60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10"/>
            <c:spPr>
              <a:noFill/>
              <a:ln w="19050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errBars>
            <c:errDir val="y"/>
            <c:errBarType val="both"/>
            <c:errValType val="percentage"/>
            <c:noEndCap val="0"/>
            <c:val val="2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'Diff VS wt% of xylan and temp'!$B$20:$G$20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</c:numCache>
            </c:numRef>
          </c:xVal>
          <c:yVal>
            <c:numRef>
              <c:f>'Diff VS wt% of xylan and temp'!$B$25:$G$25</c:f>
              <c:numCache>
                <c:formatCode>0.00E+00</c:formatCode>
                <c:ptCount val="6"/>
                <c:pt idx="0">
                  <c:v>7.2766400000000001E-11</c:v>
                </c:pt>
                <c:pt idx="1">
                  <c:v>6.6053333333333326E-11</c:v>
                </c:pt>
                <c:pt idx="2">
                  <c:v>5.629833333333333E-11</c:v>
                </c:pt>
                <c:pt idx="3">
                  <c:v>5.2604999999999996E-11</c:v>
                </c:pt>
                <c:pt idx="4">
                  <c:v>3.597E-11</c:v>
                </c:pt>
                <c:pt idx="5">
                  <c:v>2.4268333333333335E-11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910D-4AFB-9437-297D82E484E6}"/>
            </c:ext>
          </c:extLst>
        </c:ser>
        <c:ser>
          <c:idx val="3"/>
          <c:order val="2"/>
          <c:tx>
            <c:strRef>
              <c:f>'Diff VS wt% of xylan and temp'!$A$24</c:f>
              <c:strCache>
                <c:ptCount val="1"/>
                <c:pt idx="0">
                  <c:v>50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noFill/>
              <a:ln w="19050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errBars>
            <c:errDir val="y"/>
            <c:errBarType val="both"/>
            <c:errValType val="percentage"/>
            <c:noEndCap val="0"/>
            <c:val val="2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'Diff VS wt% of xylan and temp'!$B$20:$G$20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</c:numCache>
            </c:numRef>
          </c:xVal>
          <c:yVal>
            <c:numRef>
              <c:f>'Diff VS wt% of xylan and temp'!$B$24:$H$24</c:f>
              <c:numCache>
                <c:formatCode>0.00E+00</c:formatCode>
                <c:ptCount val="7"/>
                <c:pt idx="0">
                  <c:v>4.5985212121212116E-11</c:v>
                </c:pt>
                <c:pt idx="1">
                  <c:v>4.6361666666666661E-11</c:v>
                </c:pt>
                <c:pt idx="2">
                  <c:v>4.0016666666666669E-11</c:v>
                </c:pt>
                <c:pt idx="3">
                  <c:v>3.3008333333333332E-11</c:v>
                </c:pt>
                <c:pt idx="4">
                  <c:v>2.2716666666666668E-11</c:v>
                </c:pt>
                <c:pt idx="5">
                  <c:v>1.5045000000000001E-11</c:v>
                </c:pt>
                <c:pt idx="6" formatCode="General">
                  <c:v>1.1162363636363635E-11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910D-4AFB-9437-297D82E484E6}"/>
            </c:ext>
          </c:extLst>
        </c:ser>
        <c:ser>
          <c:idx val="2"/>
          <c:order val="3"/>
          <c:tx>
            <c:strRef>
              <c:f>'Diff VS wt% of xylan and temp'!$A$23</c:f>
              <c:strCache>
                <c:ptCount val="1"/>
                <c:pt idx="0">
                  <c:v>40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noFill/>
              <a:ln w="19050">
                <a:solidFill>
                  <a:srgbClr val="C0000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errBars>
            <c:errDir val="y"/>
            <c:errBarType val="both"/>
            <c:errValType val="percentage"/>
            <c:noEndCap val="0"/>
            <c:val val="2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'Diff VS wt% of xylan and temp'!$B$20:$G$20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</c:numCache>
            </c:numRef>
          </c:xVal>
          <c:yVal>
            <c:numRef>
              <c:f>'Diff VS wt% of xylan and temp'!$B$23:$G$23</c:f>
              <c:numCache>
                <c:formatCode>0.00E+00</c:formatCode>
                <c:ptCount val="6"/>
                <c:pt idx="0">
                  <c:v>3.0483393939393933E-11</c:v>
                </c:pt>
                <c:pt idx="1">
                  <c:v>3.0106666666666662E-11</c:v>
                </c:pt>
                <c:pt idx="2">
                  <c:v>2.5289999999999997E-11</c:v>
                </c:pt>
                <c:pt idx="3">
                  <c:v>2.0558333333333332E-11</c:v>
                </c:pt>
                <c:pt idx="4">
                  <c:v>1.3821666666666668E-11</c:v>
                </c:pt>
                <c:pt idx="5">
                  <c:v>8.6936666666666664E-12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910D-4AFB-9437-297D82E484E6}"/>
            </c:ext>
          </c:extLst>
        </c:ser>
        <c:ser>
          <c:idx val="1"/>
          <c:order val="4"/>
          <c:tx>
            <c:strRef>
              <c:f>'Diff VS wt% of xylan and temp'!$A$22</c:f>
              <c:strCache>
                <c:ptCount val="1"/>
                <c:pt idx="0">
                  <c:v>30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tar"/>
            <c:size val="10"/>
            <c:spPr>
              <a:noFill/>
              <a:ln w="19050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errBars>
            <c:errDir val="y"/>
            <c:errBarType val="both"/>
            <c:errValType val="percentage"/>
            <c:noEndCap val="0"/>
            <c:val val="2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'Diff VS wt% of xylan and temp'!$B$20:$G$20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</c:numCache>
            </c:numRef>
          </c:xVal>
          <c:yVal>
            <c:numRef>
              <c:f>'Diff VS wt% of xylan and temp'!$B$22:$G$22</c:f>
              <c:numCache>
                <c:formatCode>0.00E+00</c:formatCode>
                <c:ptCount val="6"/>
                <c:pt idx="0">
                  <c:v>1.6062588235294118E-11</c:v>
                </c:pt>
                <c:pt idx="1">
                  <c:v>1.6760000000000002E-11</c:v>
                </c:pt>
                <c:pt idx="2">
                  <c:v>1.4231666666666666E-11</c:v>
                </c:pt>
                <c:pt idx="3">
                  <c:v>1.2074999999999999E-11</c:v>
                </c:pt>
                <c:pt idx="4">
                  <c:v>7.4381666666666656E-12</c:v>
                </c:pt>
                <c:pt idx="5">
                  <c:v>4.5252000000000001E-12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910D-4AFB-9437-297D82E484E6}"/>
            </c:ext>
          </c:extLst>
        </c:ser>
        <c:ser>
          <c:idx val="0"/>
          <c:order val="5"/>
          <c:tx>
            <c:strRef>
              <c:f>'Diff VS wt% of xylan and temp'!$A$21</c:f>
              <c:strCache>
                <c:ptCount val="1"/>
                <c:pt idx="0">
                  <c:v>20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10"/>
            <c:spPr>
              <a:noFill/>
              <a:ln w="19050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errBars>
            <c:errDir val="y"/>
            <c:errBarType val="both"/>
            <c:errValType val="percentage"/>
            <c:noEndCap val="0"/>
            <c:val val="2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'Diff VS wt% of xylan and temp'!$B$20:$G$20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</c:numCache>
            </c:numRef>
          </c:xVal>
          <c:yVal>
            <c:numRef>
              <c:f>'Diff VS wt% of xylan and temp'!$B$21:$H$21</c:f>
              <c:numCache>
                <c:formatCode>0.00E+00</c:formatCode>
                <c:ptCount val="7"/>
                <c:pt idx="0">
                  <c:v>9.5654274509803925E-12</c:v>
                </c:pt>
                <c:pt idx="1">
                  <c:v>8.3171666666666661E-12</c:v>
                </c:pt>
                <c:pt idx="2">
                  <c:v>7.2924999999999987E-12</c:v>
                </c:pt>
                <c:pt idx="3">
                  <c:v>5.8859999999999998E-12</c:v>
                </c:pt>
                <c:pt idx="4">
                  <c:v>3.5366666666666665E-12</c:v>
                </c:pt>
                <c:pt idx="5">
                  <c:v>1.8474000000000004E-12</c:v>
                </c:pt>
                <c:pt idx="6" formatCode="General">
                  <c:v>1.3196283185840709E-12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910D-4AFB-9437-297D82E48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3100264"/>
        <c:axId val="303100656"/>
      </c:scatterChart>
      <c:valAx>
        <c:axId val="303100264"/>
        <c:scaling>
          <c:orientation val="minMax"/>
          <c:max val="18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 sz="16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Wt</a:t>
                </a:r>
                <a:r>
                  <a:rPr lang="en-GB" sz="1600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% of xylan </a:t>
                </a:r>
                <a:endParaRPr lang="en-GB" sz="1600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1408315266776391"/>
              <c:y val="0.9314335070925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+mn-ea"/>
                <a:cs typeface="+mn-cs"/>
              </a:defRPr>
            </a:pPr>
            <a:endParaRPr lang="en-US"/>
          </a:p>
        </c:txPr>
        <c:crossAx val="303100656"/>
        <c:crossesAt val="1.0000000000000006E-12"/>
        <c:crossBetween val="midCat"/>
        <c:majorUnit val="5"/>
      </c:valAx>
      <c:valAx>
        <c:axId val="303100656"/>
        <c:scaling>
          <c:logBase val="10"/>
          <c:orientation val="minMax"/>
          <c:max val="1.0000000000000005E-9"/>
          <c:min val="1.0000000000000006E-1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mbria" panose="02040503050406030204" pitchFamily="18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8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</a:t>
                </a:r>
                <a:r>
                  <a:rPr lang="en-GB" sz="1800" b="0" i="1" u="none" strike="noStrike" baseline="-2500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C2mim</a:t>
                </a:r>
                <a:r>
                  <a:rPr lang="en-GB" sz="1800" b="1" baseline="-25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  <a:r>
                  <a:rPr lang="en-GB" sz="1800" b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/m²s </a:t>
                </a:r>
                <a:r>
                  <a:rPr lang="en-GB" sz="1800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-1</a:t>
                </a:r>
              </a:p>
            </c:rich>
          </c:tx>
          <c:layout>
            <c:manualLayout>
              <c:xMode val="edge"/>
              <c:yMode val="edge"/>
              <c:x val="7.5724276860272225E-3"/>
              <c:y val="0.26058450253082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mbria" panose="02040503050406030204" pitchFamily="18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E+00" sourceLinked="0"/>
        <c:majorTickMark val="in"/>
        <c:minorTickMark val="in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+mn-ea"/>
                <a:cs typeface="+mn-cs"/>
              </a:defRPr>
            </a:pPr>
            <a:endParaRPr lang="en-US"/>
          </a:p>
        </c:txPr>
        <c:crossAx val="303100264"/>
        <c:crossesAt val="0"/>
        <c:crossBetween val="midCat"/>
        <c:majorUnit val="2.0000000000000012E-11"/>
      </c:valAx>
      <c:spPr>
        <a:noFill/>
        <a:ln w="12700" cap="sq">
          <a:solidFill>
            <a:schemeClr val="tx1"/>
          </a:solidFill>
          <a:round/>
        </a:ln>
        <a:effectLst/>
      </c:spPr>
    </c:plotArea>
    <c:legend>
      <c:legendPos val="r"/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ayout>
        <c:manualLayout>
          <c:xMode val="edge"/>
          <c:yMode val="edge"/>
          <c:x val="0.87221912260967382"/>
          <c:y val="0.11347026978653309"/>
          <c:w val="8.8387401574803154E-2"/>
          <c:h val="0.339448777074387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sq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11512986328167"/>
          <c:y val="2.2898425613148001E-2"/>
          <c:w val="0.79880717383279176"/>
          <c:h val="0.83327387476488712"/>
        </c:manualLayout>
      </c:layout>
      <c:scatterChart>
        <c:scatterStyle val="lineMarker"/>
        <c:varyColors val="0"/>
        <c:ser>
          <c:idx val="5"/>
          <c:order val="0"/>
          <c:tx>
            <c:strRef>
              <c:f>'Diff VS wt% of xylan and temp'!$L$26</c:f>
              <c:strCache>
                <c:ptCount val="1"/>
                <c:pt idx="0">
                  <c:v>70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10"/>
            <c:spPr>
              <a:noFill/>
              <a:ln w="19050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errBars>
            <c:errDir val="y"/>
            <c:errBarType val="both"/>
            <c:errValType val="percentage"/>
            <c:noEndCap val="0"/>
            <c:val val="2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'Diff VS wt% of xylan and temp'!$M$20:$R$20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</c:numCache>
            </c:numRef>
          </c:xVal>
          <c:yVal>
            <c:numRef>
              <c:f>'Diff VS wt% of xylan and temp'!$M$26:$R$26</c:f>
              <c:numCache>
                <c:formatCode>0.00E+00</c:formatCode>
                <c:ptCount val="6"/>
                <c:pt idx="0">
                  <c:v>9.6000000000000005E-11</c:v>
                </c:pt>
                <c:pt idx="1">
                  <c:v>9.5700000000000003E-11</c:v>
                </c:pt>
                <c:pt idx="2">
                  <c:v>7.2199999999999994E-11</c:v>
                </c:pt>
                <c:pt idx="3">
                  <c:v>7.18E-11</c:v>
                </c:pt>
                <c:pt idx="4">
                  <c:v>4.58E-11</c:v>
                </c:pt>
                <c:pt idx="5">
                  <c:v>3.08E-11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7-4EA4-8255-48846399012F}"/>
            </c:ext>
          </c:extLst>
        </c:ser>
        <c:ser>
          <c:idx val="4"/>
          <c:order val="1"/>
          <c:tx>
            <c:strRef>
              <c:f>'Diff VS wt% of xylan and temp'!$L$25</c:f>
              <c:strCache>
                <c:ptCount val="1"/>
                <c:pt idx="0">
                  <c:v>60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10"/>
            <c:spPr>
              <a:noFill/>
              <a:ln w="19050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errBars>
            <c:errDir val="y"/>
            <c:errBarType val="both"/>
            <c:errValType val="percentage"/>
            <c:noEndCap val="0"/>
            <c:val val="2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'Diff VS wt% of xylan and temp'!$M$20:$R$20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</c:numCache>
            </c:numRef>
          </c:xVal>
          <c:yVal>
            <c:numRef>
              <c:f>'Diff VS wt% of xylan and temp'!$M$25:$R$25</c:f>
              <c:numCache>
                <c:formatCode>0.00E+00</c:formatCode>
                <c:ptCount val="6"/>
                <c:pt idx="0">
                  <c:v>6.5500000000000006E-11</c:v>
                </c:pt>
                <c:pt idx="1">
                  <c:v>5.92E-11</c:v>
                </c:pt>
                <c:pt idx="2">
                  <c:v>5.17E-11</c:v>
                </c:pt>
                <c:pt idx="3">
                  <c:v>4.6800000000000003E-11</c:v>
                </c:pt>
                <c:pt idx="4">
                  <c:v>3.0499999999999998E-11</c:v>
                </c:pt>
                <c:pt idx="5">
                  <c:v>2.0199999999999999E-11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977-4EA4-8255-48846399012F}"/>
            </c:ext>
          </c:extLst>
        </c:ser>
        <c:ser>
          <c:idx val="3"/>
          <c:order val="2"/>
          <c:tx>
            <c:strRef>
              <c:f>'Diff VS wt% of xylan and temp'!$L$24</c:f>
              <c:strCache>
                <c:ptCount val="1"/>
                <c:pt idx="0">
                  <c:v>50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0"/>
            <c:spPr>
              <a:noFill/>
              <a:ln w="19050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errBars>
            <c:errDir val="y"/>
            <c:errBarType val="both"/>
            <c:errValType val="percentage"/>
            <c:noEndCap val="0"/>
            <c:val val="2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'Diff VS wt% of xylan and temp'!$M$20:$R$20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</c:numCache>
            </c:numRef>
          </c:xVal>
          <c:yVal>
            <c:numRef>
              <c:f>'Diff VS wt% of xylan and temp'!$M$24:$R$24</c:f>
              <c:numCache>
                <c:formatCode>0.00E+00</c:formatCode>
                <c:ptCount val="6"/>
                <c:pt idx="0">
                  <c:v>3.8699999999999999E-11</c:v>
                </c:pt>
                <c:pt idx="1">
                  <c:v>4.1000000000000001E-11</c:v>
                </c:pt>
                <c:pt idx="2">
                  <c:v>3.5199999999999999E-11</c:v>
                </c:pt>
                <c:pt idx="3">
                  <c:v>2.8899999999999998E-11</c:v>
                </c:pt>
                <c:pt idx="4">
                  <c:v>1.9199999999999999E-11</c:v>
                </c:pt>
                <c:pt idx="5">
                  <c:v>1.24E-11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977-4EA4-8255-48846399012F}"/>
            </c:ext>
          </c:extLst>
        </c:ser>
        <c:ser>
          <c:idx val="2"/>
          <c:order val="3"/>
          <c:tx>
            <c:strRef>
              <c:f>'Diff VS wt% of xylan and temp'!$L$23</c:f>
              <c:strCache>
                <c:ptCount val="1"/>
                <c:pt idx="0">
                  <c:v>40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noFill/>
              <a:ln w="19050">
                <a:solidFill>
                  <a:srgbClr val="C0000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errBars>
            <c:errDir val="y"/>
            <c:errBarType val="both"/>
            <c:errValType val="percentage"/>
            <c:noEndCap val="0"/>
            <c:val val="2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'Diff VS wt% of xylan and temp'!$M$20:$R$20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</c:numCache>
            </c:numRef>
          </c:xVal>
          <c:yVal>
            <c:numRef>
              <c:f>'Diff VS wt% of xylan and temp'!$M$23:$R$23</c:f>
              <c:numCache>
                <c:formatCode>0.00E+00</c:formatCode>
                <c:ptCount val="6"/>
                <c:pt idx="0">
                  <c:v>2.5699999999999999E-11</c:v>
                </c:pt>
                <c:pt idx="1">
                  <c:v>2.6400000000000001E-11</c:v>
                </c:pt>
                <c:pt idx="2">
                  <c:v>2.21E-11</c:v>
                </c:pt>
                <c:pt idx="3">
                  <c:v>1.7799999999999999E-11</c:v>
                </c:pt>
                <c:pt idx="4">
                  <c:v>1.1600000000000001E-11</c:v>
                </c:pt>
                <c:pt idx="5">
                  <c:v>7.1799999999999997E-12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A977-4EA4-8255-48846399012F}"/>
            </c:ext>
          </c:extLst>
        </c:ser>
        <c:ser>
          <c:idx val="1"/>
          <c:order val="4"/>
          <c:tx>
            <c:strRef>
              <c:f>'Diff VS wt% of xylan and temp'!$L$22</c:f>
              <c:strCache>
                <c:ptCount val="1"/>
                <c:pt idx="0">
                  <c:v>30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tar"/>
            <c:size val="10"/>
            <c:spPr>
              <a:solidFill>
                <a:schemeClr val="accent2"/>
              </a:solidFill>
              <a:ln w="19050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star"/>
              <c:size val="10"/>
              <c:spPr>
                <a:noFill/>
                <a:ln w="19050">
                  <a:solidFill>
                    <a:schemeClr val="accent2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A977-4EA4-8255-48846399012F}"/>
              </c:ext>
            </c:extLst>
          </c:dPt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errBars>
            <c:errDir val="y"/>
            <c:errBarType val="both"/>
            <c:errValType val="percentage"/>
            <c:noEndCap val="0"/>
            <c:val val="2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'Diff VS wt% of xylan and temp'!$M$20:$R$20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</c:numCache>
            </c:numRef>
          </c:xVal>
          <c:yVal>
            <c:numRef>
              <c:f>'Diff VS wt% of xylan and temp'!$M$22:$R$22</c:f>
              <c:numCache>
                <c:formatCode>0.00E+00</c:formatCode>
                <c:ptCount val="6"/>
                <c:pt idx="0">
                  <c:v>1.37E-11</c:v>
                </c:pt>
                <c:pt idx="1">
                  <c:v>1.44E-11</c:v>
                </c:pt>
                <c:pt idx="2">
                  <c:v>1.2200000000000001E-11</c:v>
                </c:pt>
                <c:pt idx="3">
                  <c:v>1.0199999999999999E-11</c:v>
                </c:pt>
                <c:pt idx="4">
                  <c:v>6.1799999999999999E-12</c:v>
                </c:pt>
                <c:pt idx="5">
                  <c:v>3.7399999999999998E-12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A977-4EA4-8255-48846399012F}"/>
            </c:ext>
          </c:extLst>
        </c:ser>
        <c:ser>
          <c:idx val="0"/>
          <c:order val="5"/>
          <c:tx>
            <c:strRef>
              <c:f>'Diff VS wt% of xylan and temp'!$L$21</c:f>
              <c:strCache>
                <c:ptCount val="1"/>
                <c:pt idx="0">
                  <c:v>20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10"/>
            <c:spPr>
              <a:noFill/>
              <a:ln w="19050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errBars>
            <c:errDir val="y"/>
            <c:errBarType val="both"/>
            <c:errValType val="percentage"/>
            <c:noEndCap val="0"/>
            <c:val val="2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'Diff VS wt% of xylan and temp'!$M$20:$R$20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</c:numCache>
            </c:numRef>
          </c:xVal>
          <c:yVal>
            <c:numRef>
              <c:f>'Diff VS wt% of xylan and temp'!$M$21:$R$21</c:f>
              <c:numCache>
                <c:formatCode>0.00E+00</c:formatCode>
                <c:ptCount val="6"/>
                <c:pt idx="0">
                  <c:v>7.7200000000000002E-12</c:v>
                </c:pt>
                <c:pt idx="1">
                  <c:v>7.0200000000000004E-12</c:v>
                </c:pt>
                <c:pt idx="2">
                  <c:v>6.1900000000000001E-12</c:v>
                </c:pt>
                <c:pt idx="3">
                  <c:v>4.92E-12</c:v>
                </c:pt>
                <c:pt idx="4">
                  <c:v>2.9200000000000001E-12</c:v>
                </c:pt>
                <c:pt idx="5">
                  <c:v>1.6E-12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A977-4EA4-8255-488463990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3101440"/>
        <c:axId val="303101832"/>
      </c:scatterChart>
      <c:valAx>
        <c:axId val="303101440"/>
        <c:scaling>
          <c:orientation val="minMax"/>
          <c:max val="18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 sz="16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Wt</a:t>
                </a:r>
                <a:r>
                  <a:rPr lang="en-GB" sz="1600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% of xylan </a:t>
                </a:r>
                <a:endParaRPr lang="en-GB" sz="1600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0586101747180997"/>
              <c:y val="0.931727583128715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03101832"/>
        <c:crossesAt val="1.0000000000000006E-12"/>
        <c:crossBetween val="midCat"/>
        <c:majorUnit val="5"/>
      </c:valAx>
      <c:valAx>
        <c:axId val="303101832"/>
        <c:scaling>
          <c:logBase val="10"/>
          <c:orientation val="minMax"/>
          <c:max val="1.2000000000000006E-9"/>
          <c:min val="1.0000000000000006E-1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 sz="1800" b="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</a:t>
                </a:r>
                <a:r>
                  <a:rPr lang="en-GB" sz="1800" b="0" i="1" u="none" strike="noStrike" baseline="-2500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OAc </a:t>
                </a:r>
                <a:r>
                  <a:rPr lang="en-GB" sz="1800" b="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/m²</a:t>
                </a:r>
                <a:r>
                  <a:rPr lang="en-GB" sz="1800" b="0" i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s </a:t>
                </a:r>
                <a:r>
                  <a:rPr lang="en-GB" sz="1800" b="0" i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-1</a:t>
                </a:r>
              </a:p>
            </c:rich>
          </c:tx>
          <c:layout>
            <c:manualLayout>
              <c:xMode val="edge"/>
              <c:yMode val="edge"/>
              <c:x val="1.2232733327291058E-2"/>
              <c:y val="0.363500745109543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E+00" sourceLinked="0"/>
        <c:majorTickMark val="in"/>
        <c:minorTickMark val="in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03101440"/>
        <c:crossesAt val="0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ayout>
        <c:manualLayout>
          <c:xMode val="edge"/>
          <c:yMode val="edge"/>
          <c:x val="0.86228392875218884"/>
          <c:y val="0.11547009053234476"/>
          <c:w val="0.10148314666585162"/>
          <c:h val="0.350717712010136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01335334871823"/>
          <c:y val="4.4191346858544485E-2"/>
          <c:w val="0.82346756130176257"/>
          <c:h val="0.78038502909400542"/>
        </c:manualLayout>
      </c:layout>
      <c:scatterChart>
        <c:scatterStyle val="lineMarker"/>
        <c:varyColors val="0"/>
        <c:ser>
          <c:idx val="0"/>
          <c:order val="0"/>
          <c:tx>
            <c:strRef>
              <c:f>'Diff VS wt% of xylan and temp'!$B$20</c:f>
              <c:strCache>
                <c:ptCount val="1"/>
                <c:pt idx="0">
                  <c:v>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plus"/>
            <c:size val="10"/>
            <c:spPr>
              <a:solidFill>
                <a:schemeClr val="accent1"/>
              </a:solidFill>
              <a:ln w="19050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'Diff VS wt% of xylan and temp'!$A$21:$A$26</c:f>
              <c:numCache>
                <c:formatCode>General</c:formatCode>
                <c:ptCount val="6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</c:numCache>
            </c:numRef>
          </c:xVal>
          <c:yVal>
            <c:numRef>
              <c:f>'Diff VS wt% of xylan and temp'!$B$21:$B$26</c:f>
              <c:numCache>
                <c:formatCode>0.00E+00</c:formatCode>
                <c:ptCount val="6"/>
                <c:pt idx="0">
                  <c:v>9.5654274509803925E-12</c:v>
                </c:pt>
                <c:pt idx="1">
                  <c:v>1.6062588235294118E-11</c:v>
                </c:pt>
                <c:pt idx="2">
                  <c:v>3.0483393939393933E-11</c:v>
                </c:pt>
                <c:pt idx="3">
                  <c:v>4.5985212121212116E-11</c:v>
                </c:pt>
                <c:pt idx="4">
                  <c:v>7.2766400000000001E-11</c:v>
                </c:pt>
                <c:pt idx="5">
                  <c:v>1.0628053333333334E-10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0B-4726-A6FB-679A08ECC761}"/>
            </c:ext>
          </c:extLst>
        </c:ser>
        <c:ser>
          <c:idx val="1"/>
          <c:order val="1"/>
          <c:tx>
            <c:v>1%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10"/>
            <c:spPr>
              <a:noFill/>
              <a:ln w="19050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'Diff VS wt% of xylan and temp'!$A$21:$A$26</c:f>
              <c:numCache>
                <c:formatCode>General</c:formatCode>
                <c:ptCount val="6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</c:numCache>
            </c:numRef>
          </c:xVal>
          <c:yVal>
            <c:numRef>
              <c:f>'Diff VS wt% of xylan and temp'!$C$21:$C$26</c:f>
              <c:numCache>
                <c:formatCode>0.00E+00</c:formatCode>
                <c:ptCount val="6"/>
                <c:pt idx="0">
                  <c:v>8.3171666666666661E-12</c:v>
                </c:pt>
                <c:pt idx="1">
                  <c:v>1.6760000000000002E-11</c:v>
                </c:pt>
                <c:pt idx="2">
                  <c:v>3.0106666666666662E-11</c:v>
                </c:pt>
                <c:pt idx="3">
                  <c:v>4.6361666666666661E-11</c:v>
                </c:pt>
                <c:pt idx="4">
                  <c:v>6.6053333333333326E-11</c:v>
                </c:pt>
                <c:pt idx="5">
                  <c:v>1.0294999999999999E-10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D0B-4726-A6FB-679A08ECC761}"/>
            </c:ext>
          </c:extLst>
        </c:ser>
        <c:ser>
          <c:idx val="2"/>
          <c:order val="2"/>
          <c:tx>
            <c:v>3%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noFill/>
              <a:ln w="19050">
                <a:solidFill>
                  <a:srgbClr val="C0000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'Diff VS wt% of xylan and temp'!$A$21:$A$26</c:f>
              <c:numCache>
                <c:formatCode>General</c:formatCode>
                <c:ptCount val="6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</c:numCache>
            </c:numRef>
          </c:xVal>
          <c:yVal>
            <c:numRef>
              <c:f>'Diff VS wt% of xylan and temp'!$D$21:$D$26</c:f>
              <c:numCache>
                <c:formatCode>0.00E+00</c:formatCode>
                <c:ptCount val="6"/>
                <c:pt idx="0">
                  <c:v>7.2924999999999987E-12</c:v>
                </c:pt>
                <c:pt idx="1">
                  <c:v>1.4231666666666666E-11</c:v>
                </c:pt>
                <c:pt idx="2">
                  <c:v>2.5289999999999997E-11</c:v>
                </c:pt>
                <c:pt idx="3">
                  <c:v>4.0016666666666669E-11</c:v>
                </c:pt>
                <c:pt idx="4">
                  <c:v>5.629833333333333E-11</c:v>
                </c:pt>
                <c:pt idx="5">
                  <c:v>7.7884999999999998E-11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D0B-4726-A6FB-679A08ECC761}"/>
            </c:ext>
          </c:extLst>
        </c:ser>
        <c:ser>
          <c:idx val="3"/>
          <c:order val="3"/>
          <c:tx>
            <c:v>5%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0"/>
            <c:spPr>
              <a:noFill/>
              <a:ln w="19050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6"/>
            <c:dispRSqr val="0"/>
            <c:dispEq val="0"/>
          </c:trendline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'Diff VS wt% of xylan and temp'!$A$21:$A$26</c:f>
              <c:numCache>
                <c:formatCode>General</c:formatCode>
                <c:ptCount val="6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</c:numCache>
            </c:numRef>
          </c:xVal>
          <c:yVal>
            <c:numRef>
              <c:f>'Diff VS wt% of xylan and temp'!$E$21:$E$26</c:f>
              <c:numCache>
                <c:formatCode>0.00E+00</c:formatCode>
                <c:ptCount val="6"/>
                <c:pt idx="0">
                  <c:v>5.8859999999999998E-12</c:v>
                </c:pt>
                <c:pt idx="1">
                  <c:v>1.2074999999999999E-11</c:v>
                </c:pt>
                <c:pt idx="2">
                  <c:v>2.0558333333333332E-11</c:v>
                </c:pt>
                <c:pt idx="3">
                  <c:v>3.3008333333333332E-11</c:v>
                </c:pt>
                <c:pt idx="4">
                  <c:v>5.2604999999999996E-11</c:v>
                </c:pt>
                <c:pt idx="5">
                  <c:v>8.0584999999999999E-11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9D0B-4726-A6FB-679A08ECC761}"/>
            </c:ext>
          </c:extLst>
        </c:ser>
        <c:ser>
          <c:idx val="4"/>
          <c:order val="4"/>
          <c:tx>
            <c:v>10%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noFill/>
              <a:ln w="19050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'Diff VS wt% of xylan and temp'!$A$21:$A$26</c:f>
              <c:numCache>
                <c:formatCode>General</c:formatCode>
                <c:ptCount val="6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</c:numCache>
            </c:numRef>
          </c:xVal>
          <c:yVal>
            <c:numRef>
              <c:f>'Diff VS wt% of xylan and temp'!$F$21:$F$26</c:f>
              <c:numCache>
                <c:formatCode>0.00E+00</c:formatCode>
                <c:ptCount val="6"/>
                <c:pt idx="0">
                  <c:v>3.5366666666666665E-12</c:v>
                </c:pt>
                <c:pt idx="1">
                  <c:v>7.4381666666666656E-12</c:v>
                </c:pt>
                <c:pt idx="2">
                  <c:v>1.3821666666666668E-11</c:v>
                </c:pt>
                <c:pt idx="3">
                  <c:v>2.2716666666666668E-11</c:v>
                </c:pt>
                <c:pt idx="4">
                  <c:v>3.597E-11</c:v>
                </c:pt>
                <c:pt idx="5">
                  <c:v>5.3420000000000001E-11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9D0B-4726-A6FB-679A08ECC761}"/>
            </c:ext>
          </c:extLst>
        </c:ser>
        <c:ser>
          <c:idx val="5"/>
          <c:order val="5"/>
          <c:tx>
            <c:v>15%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0"/>
            <c:spPr>
              <a:noFill/>
              <a:ln w="19050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'Diff VS wt% of xylan and temp'!$A$21:$A$26</c:f>
              <c:numCache>
                <c:formatCode>General</c:formatCode>
                <c:ptCount val="6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</c:numCache>
            </c:numRef>
          </c:xVal>
          <c:yVal>
            <c:numRef>
              <c:f>'Diff VS wt% of xylan and temp'!$G$21:$G$26</c:f>
              <c:numCache>
                <c:formatCode>0.00E+00</c:formatCode>
                <c:ptCount val="6"/>
                <c:pt idx="0">
                  <c:v>1.8474000000000004E-12</c:v>
                </c:pt>
                <c:pt idx="1">
                  <c:v>4.5252000000000001E-12</c:v>
                </c:pt>
                <c:pt idx="2">
                  <c:v>8.6936666666666664E-12</c:v>
                </c:pt>
                <c:pt idx="3">
                  <c:v>1.5045000000000001E-11</c:v>
                </c:pt>
                <c:pt idx="4">
                  <c:v>2.4268333333333335E-11</c:v>
                </c:pt>
                <c:pt idx="5">
                  <c:v>3.6943333333333336E-11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9D0B-4726-A6FB-679A08ECC761}"/>
            </c:ext>
          </c:extLst>
        </c:ser>
        <c:ser>
          <c:idx val="6"/>
          <c:order val="6"/>
          <c:tx>
            <c:v>15%C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noFill/>
              <a:ln w="19050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6"/>
            <c:dispRSqr val="0"/>
            <c:dispEq val="0"/>
          </c:trendline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'Diff VS wt% of xylan and temp'!$A$21:$A$26</c:f>
              <c:numCache>
                <c:formatCode>General</c:formatCode>
                <c:ptCount val="6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</c:numCache>
            </c:numRef>
          </c:xVal>
          <c:yVal>
            <c:numRef>
              <c:f>'Diff VS wt% of xylan and temp'!$H$21:$H$26</c:f>
              <c:numCache>
                <c:formatCode>General</c:formatCode>
                <c:ptCount val="6"/>
                <c:pt idx="0">
                  <c:v>1.3196283185840709E-12</c:v>
                </c:pt>
                <c:pt idx="1">
                  <c:v>2.8922248995983937E-12</c:v>
                </c:pt>
                <c:pt idx="2">
                  <c:v>6.0412862745098045E-12</c:v>
                </c:pt>
                <c:pt idx="3">
                  <c:v>1.1162363636363635E-11</c:v>
                </c:pt>
                <c:pt idx="4">
                  <c:v>1.8313939393939392E-11</c:v>
                </c:pt>
                <c:pt idx="5">
                  <c:v>2.7894484848484843E-11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9D0B-4726-A6FB-679A08ECC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3102616"/>
        <c:axId val="303103008"/>
      </c:scatterChart>
      <c:valAx>
        <c:axId val="303102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r>
                  <a:rPr lang="en-GB" sz="1800" b="0" i="0" baseline="0">
                    <a:effectLst/>
                    <a:latin typeface="+mn-lt"/>
                    <a:cs typeface="Arial" panose="020B0604020202020204" pitchFamily="34" charset="0"/>
                  </a:rPr>
                  <a:t>Temperature / </a:t>
                </a:r>
                <a:r>
                  <a:rPr lang="en-GB" sz="1800" b="0" i="0" baseline="0">
                    <a:effectLst/>
                    <a:latin typeface="+mn-lt"/>
                    <a:cs typeface="Times New Roman" panose="02020603050405020304" pitchFamily="18" charset="0"/>
                  </a:rPr>
                  <a:t>°</a:t>
                </a:r>
                <a:r>
                  <a:rPr lang="en-GB" sz="1800" b="0" i="0" baseline="0">
                    <a:effectLst/>
                    <a:latin typeface="+mn-lt"/>
                    <a:cs typeface="Arial" panose="020B0604020202020204" pitchFamily="34" charset="0"/>
                  </a:rPr>
                  <a:t>C</a:t>
                </a:r>
                <a:endParaRPr lang="en-GB" sz="1800">
                  <a:effectLst/>
                  <a:latin typeface="+mn-lt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3762137291791681"/>
              <c:y val="0.911734407079916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103008"/>
        <c:crossesAt val="1.0000000000000007E-13"/>
        <c:crossBetween val="midCat"/>
        <c:majorUnit val="20"/>
      </c:valAx>
      <c:valAx>
        <c:axId val="303103008"/>
        <c:scaling>
          <c:logBase val="10"/>
          <c:orientation val="minMax"/>
          <c:max val="1.2000000000000006E-9"/>
          <c:min val="1.0000000000000007E-1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0" i="0" baseline="0">
                    <a:effectLst/>
                    <a:latin typeface="+mn-lt"/>
                  </a:rPr>
                  <a:t>D</a:t>
                </a:r>
                <a:r>
                  <a:rPr lang="en-GB" sz="1200" b="0" i="0" baseline="0">
                    <a:effectLst/>
                    <a:latin typeface="+mn-lt"/>
                  </a:rPr>
                  <a:t>C2MIM</a:t>
                </a:r>
                <a:r>
                  <a:rPr lang="en-GB" sz="1800" b="0" i="0" baseline="0">
                    <a:effectLst/>
                    <a:latin typeface="+mn-lt"/>
                  </a:rPr>
                  <a:t>/m²s̄¹</a:t>
                </a:r>
                <a:endParaRPr lang="en-GB" sz="1800">
                  <a:effectLst/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7.7420183279185996E-4"/>
              <c:y val="0.289404684070297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E+00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102616"/>
        <c:crossesAt val="0"/>
        <c:crossBetween val="midCat"/>
        <c:majorUnit val="3.0000000000000019E-11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825452880689173"/>
          <c:y val="8.8046867748883817E-2"/>
          <c:w val="6.7041348297992798E-2"/>
          <c:h val="0.476433496440067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7418931146243"/>
          <c:y val="4.7370973573059867E-2"/>
          <c:w val="0.8184156788093796"/>
          <c:h val="0.78964488011961731"/>
        </c:manualLayout>
      </c:layout>
      <c:scatterChart>
        <c:scatterStyle val="lineMarker"/>
        <c:varyColors val="0"/>
        <c:ser>
          <c:idx val="0"/>
          <c:order val="0"/>
          <c:tx>
            <c:v>0</c:v>
          </c:tx>
          <c:spPr>
            <a:ln w="19050" cap="rnd">
              <a:noFill/>
              <a:round/>
            </a:ln>
            <a:effectLst/>
          </c:spPr>
          <c:marker>
            <c:symbol val="star"/>
            <c:size val="10"/>
            <c:spPr>
              <a:solidFill>
                <a:schemeClr val="accent1"/>
              </a:solidFill>
              <a:ln w="19050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'Diff VS wt% of xylan and temp'!$L$21:$L$26</c:f>
              <c:numCache>
                <c:formatCode>General</c:formatCode>
                <c:ptCount val="6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</c:numCache>
            </c:numRef>
          </c:xVal>
          <c:yVal>
            <c:numRef>
              <c:f>'Diff VS wt% of xylan and temp'!$M$21:$M$26</c:f>
              <c:numCache>
                <c:formatCode>0.00E+00</c:formatCode>
                <c:ptCount val="6"/>
                <c:pt idx="0">
                  <c:v>7.7200000000000002E-12</c:v>
                </c:pt>
                <c:pt idx="1">
                  <c:v>1.37E-11</c:v>
                </c:pt>
                <c:pt idx="2">
                  <c:v>2.5699999999999999E-11</c:v>
                </c:pt>
                <c:pt idx="3">
                  <c:v>3.8699999999999999E-11</c:v>
                </c:pt>
                <c:pt idx="4">
                  <c:v>6.5500000000000006E-11</c:v>
                </c:pt>
                <c:pt idx="5">
                  <c:v>9.6000000000000005E-11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0BF-4ADA-8D6B-D78845401CDA}"/>
            </c:ext>
          </c:extLst>
        </c:ser>
        <c:ser>
          <c:idx val="1"/>
          <c:order val="1"/>
          <c:tx>
            <c:v>1%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10"/>
            <c:spPr>
              <a:noFill/>
              <a:ln w="19050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'Diff VS wt% of xylan and temp'!$L$21:$L$26</c:f>
              <c:numCache>
                <c:formatCode>General</c:formatCode>
                <c:ptCount val="6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</c:numCache>
            </c:numRef>
          </c:xVal>
          <c:yVal>
            <c:numRef>
              <c:f>'Diff VS wt% of xylan and temp'!$N$21:$N$26</c:f>
              <c:numCache>
                <c:formatCode>0.00E+00</c:formatCode>
                <c:ptCount val="6"/>
                <c:pt idx="0">
                  <c:v>7.0200000000000004E-12</c:v>
                </c:pt>
                <c:pt idx="1">
                  <c:v>1.44E-11</c:v>
                </c:pt>
                <c:pt idx="2">
                  <c:v>2.6400000000000001E-11</c:v>
                </c:pt>
                <c:pt idx="3">
                  <c:v>4.1000000000000001E-11</c:v>
                </c:pt>
                <c:pt idx="4">
                  <c:v>5.92E-11</c:v>
                </c:pt>
                <c:pt idx="5">
                  <c:v>9.5700000000000003E-11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0BF-4ADA-8D6B-D78845401CDA}"/>
            </c:ext>
          </c:extLst>
        </c:ser>
        <c:ser>
          <c:idx val="2"/>
          <c:order val="2"/>
          <c:tx>
            <c:v>3%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noFill/>
              <a:ln w="19050">
                <a:solidFill>
                  <a:srgbClr val="C00000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'Diff VS wt% of xylan and temp'!$L$21:$L$26</c:f>
              <c:numCache>
                <c:formatCode>General</c:formatCode>
                <c:ptCount val="6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</c:numCache>
            </c:numRef>
          </c:xVal>
          <c:yVal>
            <c:numRef>
              <c:f>'Diff VS wt% of xylan and temp'!$O$21:$O$26</c:f>
              <c:numCache>
                <c:formatCode>0.00E+00</c:formatCode>
                <c:ptCount val="6"/>
                <c:pt idx="0">
                  <c:v>6.1900000000000001E-12</c:v>
                </c:pt>
                <c:pt idx="1">
                  <c:v>1.2200000000000001E-11</c:v>
                </c:pt>
                <c:pt idx="2">
                  <c:v>2.21E-11</c:v>
                </c:pt>
                <c:pt idx="3">
                  <c:v>3.5199999999999999E-11</c:v>
                </c:pt>
                <c:pt idx="4">
                  <c:v>5.17E-11</c:v>
                </c:pt>
                <c:pt idx="5">
                  <c:v>7.2199999999999994E-11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0BF-4ADA-8D6B-D78845401CDA}"/>
            </c:ext>
          </c:extLst>
        </c:ser>
        <c:ser>
          <c:idx val="3"/>
          <c:order val="3"/>
          <c:tx>
            <c:v>5%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0"/>
            <c:spPr>
              <a:noFill/>
              <a:ln w="19050">
                <a:solidFill>
                  <a:schemeClr val="accent4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'Diff VS wt% of xylan and temp'!$L$21:$L$26</c:f>
              <c:numCache>
                <c:formatCode>General</c:formatCode>
                <c:ptCount val="6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</c:numCache>
            </c:numRef>
          </c:xVal>
          <c:yVal>
            <c:numRef>
              <c:f>'Diff VS wt% of xylan and temp'!$P$21:$P$26</c:f>
              <c:numCache>
                <c:formatCode>0.00E+00</c:formatCode>
                <c:ptCount val="6"/>
                <c:pt idx="0">
                  <c:v>4.92E-12</c:v>
                </c:pt>
                <c:pt idx="1">
                  <c:v>1.0199999999999999E-11</c:v>
                </c:pt>
                <c:pt idx="2">
                  <c:v>1.7799999999999999E-11</c:v>
                </c:pt>
                <c:pt idx="3">
                  <c:v>2.8899999999999998E-11</c:v>
                </c:pt>
                <c:pt idx="4">
                  <c:v>4.6800000000000003E-11</c:v>
                </c:pt>
                <c:pt idx="5">
                  <c:v>7.18E-11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0BF-4ADA-8D6B-D78845401CDA}"/>
            </c:ext>
          </c:extLst>
        </c:ser>
        <c:ser>
          <c:idx val="4"/>
          <c:order val="4"/>
          <c:tx>
            <c:v>10%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9050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'Diff VS wt% of xylan and temp'!$L$21:$L$26</c:f>
              <c:numCache>
                <c:formatCode>General</c:formatCode>
                <c:ptCount val="6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</c:numCache>
            </c:numRef>
          </c:xVal>
          <c:yVal>
            <c:numRef>
              <c:f>'Diff VS wt% of xylan and temp'!$Q$21:$Q$26</c:f>
              <c:numCache>
                <c:formatCode>0.00E+00</c:formatCode>
                <c:ptCount val="6"/>
                <c:pt idx="0">
                  <c:v>2.9200000000000001E-12</c:v>
                </c:pt>
                <c:pt idx="1">
                  <c:v>6.1799999999999999E-12</c:v>
                </c:pt>
                <c:pt idx="2">
                  <c:v>1.1600000000000001E-11</c:v>
                </c:pt>
                <c:pt idx="3">
                  <c:v>1.9199999999999999E-11</c:v>
                </c:pt>
                <c:pt idx="4">
                  <c:v>3.0499999999999998E-11</c:v>
                </c:pt>
                <c:pt idx="5">
                  <c:v>4.58E-11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50BF-4ADA-8D6B-D78845401CDA}"/>
            </c:ext>
          </c:extLst>
        </c:ser>
        <c:ser>
          <c:idx val="5"/>
          <c:order val="5"/>
          <c:tx>
            <c:v>15%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0"/>
            <c:spPr>
              <a:noFill/>
              <a:ln w="19050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'Diff VS wt% of xylan and temp'!$L$21:$L$26</c:f>
              <c:numCache>
                <c:formatCode>General</c:formatCode>
                <c:ptCount val="6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</c:numCache>
            </c:numRef>
          </c:xVal>
          <c:yVal>
            <c:numRef>
              <c:f>'Diff VS wt% of xylan and temp'!$R$21:$R$26</c:f>
              <c:numCache>
                <c:formatCode>0.00E+00</c:formatCode>
                <c:ptCount val="6"/>
                <c:pt idx="0">
                  <c:v>1.6E-12</c:v>
                </c:pt>
                <c:pt idx="1">
                  <c:v>3.7399999999999998E-12</c:v>
                </c:pt>
                <c:pt idx="2">
                  <c:v>7.1799999999999997E-12</c:v>
                </c:pt>
                <c:pt idx="3">
                  <c:v>1.24E-11</c:v>
                </c:pt>
                <c:pt idx="4">
                  <c:v>2.0199999999999999E-11</c:v>
                </c:pt>
                <c:pt idx="5">
                  <c:v>3.08E-11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50BF-4ADA-8D6B-D78845401CDA}"/>
            </c:ext>
          </c:extLst>
        </c:ser>
        <c:ser>
          <c:idx val="6"/>
          <c:order val="6"/>
          <c:tx>
            <c:v>15%C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noFill/>
              <a:ln w="19050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'Diff VS wt% of xylan and temp'!$L$21:$L$26</c:f>
              <c:numCache>
                <c:formatCode>General</c:formatCode>
                <c:ptCount val="6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</c:numCache>
            </c:numRef>
          </c:xVal>
          <c:yVal>
            <c:numRef>
              <c:f>'Diff VS wt% of xylan and temp'!$S$21:$S$26</c:f>
              <c:numCache>
                <c:formatCode>General</c:formatCode>
                <c:ptCount val="6"/>
                <c:pt idx="0">
                  <c:v>9.9472566371681425E-13</c:v>
                </c:pt>
                <c:pt idx="1">
                  <c:v>2.1468915662650604E-12</c:v>
                </c:pt>
                <c:pt idx="2">
                  <c:v>4.6070588235294119E-12</c:v>
                </c:pt>
                <c:pt idx="3">
                  <c:v>8.4152727272727263E-12</c:v>
                </c:pt>
                <c:pt idx="4">
                  <c:v>1.3350545454545454E-11</c:v>
                </c:pt>
                <c:pt idx="5">
                  <c:v>2.1386181818181817E-11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50BF-4ADA-8D6B-D78845401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3745936"/>
        <c:axId val="303746328"/>
      </c:scatterChart>
      <c:valAx>
        <c:axId val="303745936"/>
        <c:scaling>
          <c:orientation val="minMax"/>
          <c:max val="8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r>
                  <a:rPr lang="en-GB" sz="1800">
                    <a:latin typeface="+mn-lt"/>
                    <a:cs typeface="Arial" panose="020B0604020202020204" pitchFamily="34" charset="0"/>
                  </a:rPr>
                  <a:t>Temperature / </a:t>
                </a:r>
                <a:r>
                  <a:rPr lang="en-GB" sz="1800">
                    <a:latin typeface="+mn-lt"/>
                    <a:cs typeface="Times New Roman" panose="02020603050405020304" pitchFamily="18" charset="0"/>
                  </a:rPr>
                  <a:t>°</a:t>
                </a:r>
                <a:r>
                  <a:rPr lang="en-GB" sz="1800">
                    <a:latin typeface="+mn-lt"/>
                    <a:cs typeface="Arial" panose="020B0604020202020204" pitchFamily="34" charset="0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0.43223373502575513"/>
              <c:y val="0.915165950955408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746328"/>
        <c:crossesAt val="1.0000000000000007E-13"/>
        <c:crossBetween val="midCat"/>
        <c:majorUnit val="20"/>
      </c:valAx>
      <c:valAx>
        <c:axId val="303746328"/>
        <c:scaling>
          <c:logBase val="10"/>
          <c:orientation val="minMax"/>
          <c:max val="1.0000000000000005E-9"/>
          <c:min val="1.0000000000000007E-1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>
                    <a:latin typeface="+mn-lt"/>
                  </a:rPr>
                  <a:t>D</a:t>
                </a:r>
                <a:r>
                  <a:rPr lang="en-GB" sz="1200">
                    <a:latin typeface="+mn-lt"/>
                  </a:rPr>
                  <a:t>OAc</a:t>
                </a:r>
                <a:r>
                  <a:rPr lang="en-GB" sz="1800">
                    <a:latin typeface="+mn-lt"/>
                  </a:rPr>
                  <a:t>/m</a:t>
                </a:r>
                <a:r>
                  <a:rPr lang="en-GB" sz="1800">
                    <a:latin typeface="+mn-lt"/>
                    <a:cs typeface="Times New Roman" panose="02020603050405020304" pitchFamily="18" charset="0"/>
                  </a:rPr>
                  <a:t>²s̄¹</a:t>
                </a:r>
                <a:endParaRPr lang="en-GB" sz="1800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4.1020125516997625E-4"/>
              <c:y val="0.339318348818086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E+00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745936"/>
        <c:crossesAt val="0"/>
        <c:crossBetween val="midCat"/>
        <c:majorUnit val="3.0000000000000019E-11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.89535250950774015"/>
          <c:y val="0.10968076398849187"/>
          <c:w val="7.2385855614202077E-2"/>
          <c:h val="0.453210342976815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46849254491797"/>
          <c:y val="4.3600973306883922E-2"/>
          <c:w val="0.82137330713049772"/>
          <c:h val="0.77018093303612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'Ln(D) of xylan with 15%cell'!$B$20</c:f>
              <c:strCache>
                <c:ptCount val="1"/>
                <c:pt idx="0">
                  <c:v>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10"/>
            <c:spPr>
              <a:noFill/>
              <a:ln w="19050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errBars>
            <c:errDir val="y"/>
            <c:errBarType val="both"/>
            <c:errValType val="fixedVal"/>
            <c:noEndCap val="0"/>
            <c:val val="2.0000000000000004E-2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'Ln(D) of xylan with 15%cell'!$A$21:$A$26</c:f>
              <c:numCache>
                <c:formatCode>General</c:formatCode>
                <c:ptCount val="6"/>
                <c:pt idx="0">
                  <c:v>3.4129692832764502</c:v>
                </c:pt>
                <c:pt idx="1">
                  <c:v>3.3003300330032999</c:v>
                </c:pt>
                <c:pt idx="2">
                  <c:v>3.19488817891374</c:v>
                </c:pt>
                <c:pt idx="3">
                  <c:v>3.09597523219814</c:v>
                </c:pt>
                <c:pt idx="4">
                  <c:v>3.0030030030030002</c:v>
                </c:pt>
                <c:pt idx="5">
                  <c:v>2.9154518950437298</c:v>
                </c:pt>
              </c:numCache>
            </c:numRef>
          </c:xVal>
          <c:yVal>
            <c:numRef>
              <c:f>'Ln(D) of xylan with 15%cell'!$B$21:$B$26</c:f>
              <c:numCache>
                <c:formatCode>General</c:formatCode>
                <c:ptCount val="6"/>
                <c:pt idx="0">
                  <c:v>-25.372865824962158</c:v>
                </c:pt>
                <c:pt idx="1">
                  <c:v>-24.854528260040315</c:v>
                </c:pt>
                <c:pt idx="2">
                  <c:v>-24.213839041591374</c:v>
                </c:pt>
                <c:pt idx="3">
                  <c:v>-23.802701246749642</c:v>
                </c:pt>
                <c:pt idx="4">
                  <c:v>-23.343766805729107</c:v>
                </c:pt>
                <c:pt idx="5">
                  <c:v>-22.964938976858583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919-4A35-9FFC-886429B6D45D}"/>
            </c:ext>
          </c:extLst>
        </c:ser>
        <c:ser>
          <c:idx val="1"/>
          <c:order val="1"/>
          <c:tx>
            <c:v>1%</c:v>
          </c:tx>
          <c:spPr>
            <a:ln w="25400" cap="rnd">
              <a:noFill/>
              <a:round/>
            </a:ln>
            <a:effectLst/>
          </c:spPr>
          <c:marker>
            <c:symbol val="plus"/>
            <c:size val="10"/>
            <c:spPr>
              <a:noFill/>
              <a:ln w="19050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fixedVal"/>
            <c:noEndCap val="0"/>
            <c:val val="2.0000000000000004E-2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'Ln(D) of xylan with 15%cell'!$A$21:$A$26</c:f>
              <c:numCache>
                <c:formatCode>General</c:formatCode>
                <c:ptCount val="6"/>
                <c:pt idx="0">
                  <c:v>3.4129692832764502</c:v>
                </c:pt>
                <c:pt idx="1">
                  <c:v>3.3003300330032999</c:v>
                </c:pt>
                <c:pt idx="2">
                  <c:v>3.19488817891374</c:v>
                </c:pt>
                <c:pt idx="3">
                  <c:v>3.09597523219814</c:v>
                </c:pt>
                <c:pt idx="4">
                  <c:v>3.0030030030030002</c:v>
                </c:pt>
                <c:pt idx="5">
                  <c:v>2.9154518950437298</c:v>
                </c:pt>
              </c:numCache>
            </c:numRef>
          </c:xVal>
          <c:yVal>
            <c:numRef>
              <c:f>'Ln(D) of xylan with 15%cell'!$C$21:$C$26</c:f>
              <c:numCache>
                <c:formatCode>General</c:formatCode>
                <c:ptCount val="6"/>
                <c:pt idx="0">
                  <c:v>-25.512699463965799</c:v>
                </c:pt>
                <c:pt idx="1">
                  <c:v>-24.812026020874612</c:v>
                </c:pt>
                <c:pt idx="2">
                  <c:v>-24.226274484755251</c:v>
                </c:pt>
                <c:pt idx="3">
                  <c:v>-23.794548147571135</c:v>
                </c:pt>
                <c:pt idx="4">
                  <c:v>-23.440558619415555</c:v>
                </c:pt>
                <c:pt idx="5">
                  <c:v>-22.996777682454749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919-4A35-9FFC-886429B6D45D}"/>
            </c:ext>
          </c:extLst>
        </c:ser>
        <c:ser>
          <c:idx val="2"/>
          <c:order val="2"/>
          <c:tx>
            <c:strRef>
              <c:f>'Ln(D) of xylan with 15%cell'!$D$20</c:f>
              <c:strCache>
                <c:ptCount val="1"/>
                <c:pt idx="0">
                  <c:v>3%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10"/>
            <c:spPr>
              <a:noFill/>
              <a:ln w="19050">
                <a:solidFill>
                  <a:srgbClr val="C00000"/>
                </a:solidFill>
              </a:ln>
              <a:effectLst/>
            </c:spPr>
          </c:marker>
          <c:errBars>
            <c:errDir val="y"/>
            <c:errBarType val="both"/>
            <c:errValType val="fixedVal"/>
            <c:noEndCap val="0"/>
            <c:val val="2.0000000000000004E-2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'Ln(D) of xylan with 15%cell'!$A$21:$A$26</c:f>
              <c:numCache>
                <c:formatCode>General</c:formatCode>
                <c:ptCount val="6"/>
                <c:pt idx="0">
                  <c:v>3.4129692832764502</c:v>
                </c:pt>
                <c:pt idx="1">
                  <c:v>3.3003300330032999</c:v>
                </c:pt>
                <c:pt idx="2">
                  <c:v>3.19488817891374</c:v>
                </c:pt>
                <c:pt idx="3">
                  <c:v>3.09597523219814</c:v>
                </c:pt>
                <c:pt idx="4">
                  <c:v>3.0030030030030002</c:v>
                </c:pt>
                <c:pt idx="5">
                  <c:v>2.9154518950437298</c:v>
                </c:pt>
              </c:numCache>
            </c:numRef>
          </c:xVal>
          <c:yVal>
            <c:numRef>
              <c:f>'Ln(D) of xylan with 15%cell'!$D$21:$D$26</c:f>
              <c:numCache>
                <c:formatCode>General</c:formatCode>
                <c:ptCount val="6"/>
                <c:pt idx="0">
                  <c:v>-25.644174693168807</c:v>
                </c:pt>
                <c:pt idx="1">
                  <c:v>-24.975551587237089</c:v>
                </c:pt>
                <c:pt idx="2">
                  <c:v>-24.400612055246675</c:v>
                </c:pt>
                <c:pt idx="3">
                  <c:v>-23.941725081929395</c:v>
                </c:pt>
                <c:pt idx="4">
                  <c:v>-23.600356184536661</c:v>
                </c:pt>
                <c:pt idx="5">
                  <c:v>-23.275787736149979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919-4A35-9FFC-886429B6D45D}"/>
            </c:ext>
          </c:extLst>
        </c:ser>
        <c:ser>
          <c:idx val="3"/>
          <c:order val="3"/>
          <c:tx>
            <c:strRef>
              <c:f>'Ln(D) of xylan with 15%cell'!$E$20</c:f>
              <c:strCache>
                <c:ptCount val="1"/>
                <c:pt idx="0">
                  <c:v>5%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rgbClr val="FFC000"/>
              </a:solidFill>
              <a:ln w="19050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errBars>
            <c:errDir val="y"/>
            <c:errBarType val="both"/>
            <c:errValType val="fixedVal"/>
            <c:noEndCap val="0"/>
            <c:val val="2.0000000000000004E-2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'Ln(D) of xylan with 15%cell'!$A$21:$A$26</c:f>
              <c:numCache>
                <c:formatCode>General</c:formatCode>
                <c:ptCount val="6"/>
                <c:pt idx="0">
                  <c:v>3.4129692832764502</c:v>
                </c:pt>
                <c:pt idx="1">
                  <c:v>3.3003300330032999</c:v>
                </c:pt>
                <c:pt idx="2">
                  <c:v>3.19488817891374</c:v>
                </c:pt>
                <c:pt idx="3">
                  <c:v>3.09597523219814</c:v>
                </c:pt>
                <c:pt idx="4">
                  <c:v>3.0030030030030002</c:v>
                </c:pt>
                <c:pt idx="5">
                  <c:v>2.9154518950437298</c:v>
                </c:pt>
              </c:numCache>
            </c:numRef>
          </c:xVal>
          <c:yVal>
            <c:numRef>
              <c:f>'Ln(D) of xylan with 15%cell'!$E$21:$E$26</c:f>
              <c:numCache>
                <c:formatCode>General</c:formatCode>
                <c:ptCount val="6"/>
                <c:pt idx="0">
                  <c:v>-25.858444466117266</c:v>
                </c:pt>
                <c:pt idx="1">
                  <c:v>-25.139883916389913</c:v>
                </c:pt>
                <c:pt idx="2">
                  <c:v>-24.607754742181239</c:v>
                </c:pt>
                <c:pt idx="3">
                  <c:v>-24.134261061088676</c:v>
                </c:pt>
                <c:pt idx="4">
                  <c:v>-23.668209943668298</c:v>
                </c:pt>
                <c:pt idx="5">
                  <c:v>-23.241708587953866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919-4A35-9FFC-886429B6D45D}"/>
            </c:ext>
          </c:extLst>
        </c:ser>
        <c:ser>
          <c:idx val="4"/>
          <c:order val="4"/>
          <c:tx>
            <c:strRef>
              <c:f>'Ln(D) of xylan with 15%cell'!$F$20</c:f>
              <c:strCache>
                <c:ptCount val="1"/>
                <c:pt idx="0">
                  <c:v>10%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noFill/>
              <a:ln w="19050">
                <a:solidFill>
                  <a:srgbClr val="7030A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7030A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errBars>
            <c:errDir val="y"/>
            <c:errBarType val="both"/>
            <c:errValType val="fixedVal"/>
            <c:noEndCap val="0"/>
            <c:val val="2.0000000000000004E-2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'Ln(D) of xylan with 15%cell'!$A$21:$A$26</c:f>
              <c:numCache>
                <c:formatCode>General</c:formatCode>
                <c:ptCount val="6"/>
                <c:pt idx="0">
                  <c:v>3.4129692832764502</c:v>
                </c:pt>
                <c:pt idx="1">
                  <c:v>3.3003300330032999</c:v>
                </c:pt>
                <c:pt idx="2">
                  <c:v>3.19488817891374</c:v>
                </c:pt>
                <c:pt idx="3">
                  <c:v>3.09597523219814</c:v>
                </c:pt>
                <c:pt idx="4">
                  <c:v>3.0030030030030002</c:v>
                </c:pt>
                <c:pt idx="5">
                  <c:v>2.9154518950437298</c:v>
                </c:pt>
              </c:numCache>
            </c:numRef>
          </c:xVal>
          <c:yVal>
            <c:numRef>
              <c:f>'Ln(D) of xylan with 15%cell'!$F$21:$F$26</c:f>
              <c:numCache>
                <c:formatCode>General</c:formatCode>
                <c:ptCount val="6"/>
                <c:pt idx="0">
                  <c:v>-26.367836451970767</c:v>
                </c:pt>
                <c:pt idx="1">
                  <c:v>-25.624396713219511</c:v>
                </c:pt>
                <c:pt idx="2">
                  <c:v>-25.004783706693491</c:v>
                </c:pt>
                <c:pt idx="3">
                  <c:v>-24.507922246454115</c:v>
                </c:pt>
                <c:pt idx="4">
                  <c:v>-24.048335858221016</c:v>
                </c:pt>
                <c:pt idx="5">
                  <c:v>-23.652835908246733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919-4A35-9FFC-886429B6D45D}"/>
            </c:ext>
          </c:extLst>
        </c:ser>
        <c:ser>
          <c:idx val="5"/>
          <c:order val="5"/>
          <c:tx>
            <c:v>15%</c:v>
          </c:tx>
          <c:spPr>
            <a:ln w="25400" cap="rnd">
              <a:noFill/>
              <a:round/>
            </a:ln>
            <a:effectLst/>
          </c:spPr>
          <c:marker>
            <c:symbol val="dash"/>
            <c:size val="10"/>
            <c:spPr>
              <a:solidFill>
                <a:srgbClr val="92D050"/>
              </a:solidFill>
              <a:ln w="19050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errBars>
            <c:errDir val="y"/>
            <c:errBarType val="both"/>
            <c:errValType val="fixedVal"/>
            <c:noEndCap val="0"/>
            <c:val val="2.0000000000000004E-2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'Ln(D) of xylan with 15%cell'!$A$21:$A$26</c:f>
              <c:numCache>
                <c:formatCode>General</c:formatCode>
                <c:ptCount val="6"/>
                <c:pt idx="0">
                  <c:v>3.4129692832764502</c:v>
                </c:pt>
                <c:pt idx="1">
                  <c:v>3.3003300330032999</c:v>
                </c:pt>
                <c:pt idx="2">
                  <c:v>3.19488817891374</c:v>
                </c:pt>
                <c:pt idx="3">
                  <c:v>3.09597523219814</c:v>
                </c:pt>
                <c:pt idx="4">
                  <c:v>3.0030030030030002</c:v>
                </c:pt>
                <c:pt idx="5">
                  <c:v>2.9154518950437298</c:v>
                </c:pt>
              </c:numCache>
            </c:numRef>
          </c:xVal>
          <c:yVal>
            <c:numRef>
              <c:f>'Ln(D) of xylan with 15%cell'!$G$21:$G$26</c:f>
              <c:numCache>
                <c:formatCode>General</c:formatCode>
                <c:ptCount val="6"/>
                <c:pt idx="0">
                  <c:v>-27.017241870752176</c:v>
                </c:pt>
                <c:pt idx="1">
                  <c:v>-26.121359340858373</c:v>
                </c:pt>
                <c:pt idx="2">
                  <c:v>-25.468426324715018</c:v>
                </c:pt>
                <c:pt idx="3">
                  <c:v>-24.919975405846539</c:v>
                </c:pt>
                <c:pt idx="4">
                  <c:v>-24.44184877043379</c:v>
                </c:pt>
                <c:pt idx="5">
                  <c:v>-24.021635908809095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919-4A35-9FFC-886429B6D45D}"/>
            </c:ext>
          </c:extLst>
        </c:ser>
        <c:ser>
          <c:idx val="6"/>
          <c:order val="6"/>
          <c:tx>
            <c:strRef>
              <c:f>'Ln(D) of xylan with 15%cell'!$H$20</c:f>
              <c:strCache>
                <c:ptCount val="1"/>
                <c:pt idx="0">
                  <c:v>15%C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noFill/>
              <a:ln w="19050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errBars>
            <c:errDir val="y"/>
            <c:errBarType val="both"/>
            <c:errValType val="fixedVal"/>
            <c:noEndCap val="0"/>
            <c:val val="2.0000000000000004E-2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'Ln(D) of xylan with 15%cell'!$A$21:$A$26</c:f>
              <c:numCache>
                <c:formatCode>General</c:formatCode>
                <c:ptCount val="6"/>
                <c:pt idx="0">
                  <c:v>3.4129692832764502</c:v>
                </c:pt>
                <c:pt idx="1">
                  <c:v>3.3003300330032999</c:v>
                </c:pt>
                <c:pt idx="2">
                  <c:v>3.19488817891374</c:v>
                </c:pt>
                <c:pt idx="3">
                  <c:v>3.09597523219814</c:v>
                </c:pt>
                <c:pt idx="4">
                  <c:v>3.0030030030030002</c:v>
                </c:pt>
                <c:pt idx="5">
                  <c:v>2.9154518950437298</c:v>
                </c:pt>
              </c:numCache>
            </c:numRef>
          </c:xVal>
          <c:yVal>
            <c:numRef>
              <c:f>'Ln(D) of xylan with 15%cell'!$H$21:$H$26</c:f>
              <c:numCache>
                <c:formatCode>General</c:formatCode>
                <c:ptCount val="6"/>
                <c:pt idx="0">
                  <c:v>-27.353670995810717</c:v>
                </c:pt>
                <c:pt idx="1">
                  <c:v>-26.568995048542799</c:v>
                </c:pt>
                <c:pt idx="2">
                  <c:v>-25.832404167298524</c:v>
                </c:pt>
                <c:pt idx="3">
                  <c:v>-25.218473386027775</c:v>
                </c:pt>
                <c:pt idx="4">
                  <c:v>-24.723358630523389</c:v>
                </c:pt>
                <c:pt idx="5">
                  <c:v>-24.30259212232319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4919-4A35-9FFC-886429B6D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3747112"/>
        <c:axId val="303747504"/>
      </c:scatterChart>
      <c:valAx>
        <c:axId val="303747112"/>
        <c:scaling>
          <c:orientation val="minMax"/>
          <c:max val="3.5"/>
          <c:min val="2.9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6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 sz="16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1000/T (K)</a:t>
                </a:r>
                <a:r>
                  <a:rPr lang="en-GB" sz="16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     </a:t>
                </a:r>
              </a:p>
            </c:rich>
          </c:tx>
          <c:layout>
            <c:manualLayout>
              <c:xMode val="edge"/>
              <c:yMode val="edge"/>
              <c:x val="0.45209551783982227"/>
              <c:y val="0.928737181193873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6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03747504"/>
        <c:crossesAt val="-28"/>
        <c:crossBetween val="midCat"/>
        <c:majorUnit val="0.1"/>
      </c:valAx>
      <c:valAx>
        <c:axId val="303747504"/>
        <c:scaling>
          <c:orientation val="minMax"/>
          <c:max val="-2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6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 sz="16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ln(</a:t>
                </a:r>
                <a:r>
                  <a:rPr lang="en-GB" sz="16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</a:t>
                </a:r>
                <a:r>
                  <a:rPr lang="en-GB" sz="1200" b="0" i="1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C2MIM</a:t>
                </a:r>
                <a:r>
                  <a:rPr lang="en-GB" sz="16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/m²s </a:t>
                </a:r>
                <a:r>
                  <a:rPr lang="en-GB" sz="1600" b="0" i="0" baseline="3000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-1</a:t>
                </a:r>
                <a:r>
                  <a:rPr lang="en-GB" sz="16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9.1503400560377125E-3"/>
              <c:y val="0.280859883965661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600" b="1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03747112"/>
        <c:crosses val="autoZero"/>
        <c:crossBetween val="midCat"/>
        <c:majorUnit val="2"/>
      </c:valAx>
      <c:spPr>
        <a:noFill/>
        <a:ln w="15875">
          <a:solidFill>
            <a:schemeClr val="tx1"/>
          </a:solidFill>
        </a:ln>
        <a:effectLst/>
      </c:spPr>
    </c:plotArea>
    <c:legend>
      <c:legendPos val="r"/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ayout>
        <c:manualLayout>
          <c:xMode val="edge"/>
          <c:yMode val="edge"/>
          <c:x val="0.84124288135339875"/>
          <c:y val="5.5631615384540693E-2"/>
          <c:w val="0.11433857888289653"/>
          <c:h val="0.317711050946404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78469757340463"/>
          <c:y val="6.4585687382297557E-2"/>
          <c:w val="0.79349512498364105"/>
          <c:h val="0.76194692239072259"/>
        </c:manualLayout>
      </c:layout>
      <c:scatterChart>
        <c:scatterStyle val="lineMarker"/>
        <c:varyColors val="0"/>
        <c:ser>
          <c:idx val="0"/>
          <c:order val="0"/>
          <c:tx>
            <c:strRef>
              <c:f>'Ln(D) of xylan with 15%cell'!$B$34</c:f>
              <c:strCache>
                <c:ptCount val="1"/>
                <c:pt idx="0">
                  <c:v>0%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10"/>
            <c:spPr>
              <a:noFill/>
              <a:ln w="19050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fixedVal"/>
            <c:noEndCap val="0"/>
            <c:val val="2.0000000000000004E-2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'Ln(D) of xylan with 15%cell'!$A$35:$A$40</c:f>
              <c:numCache>
                <c:formatCode>General</c:formatCode>
                <c:ptCount val="6"/>
                <c:pt idx="0">
                  <c:v>3.4129692832764502</c:v>
                </c:pt>
                <c:pt idx="1">
                  <c:v>3.3003300330032999</c:v>
                </c:pt>
                <c:pt idx="2">
                  <c:v>3.19488817891374</c:v>
                </c:pt>
                <c:pt idx="3">
                  <c:v>3.09597523219814</c:v>
                </c:pt>
                <c:pt idx="4">
                  <c:v>3.0030030030030002</c:v>
                </c:pt>
                <c:pt idx="5">
                  <c:v>2.9154518950437298</c:v>
                </c:pt>
              </c:numCache>
            </c:numRef>
          </c:xVal>
          <c:yVal>
            <c:numRef>
              <c:f>'Ln(D) of xylan with 15%cell'!$B$35:$B$40</c:f>
              <c:numCache>
                <c:formatCode>General</c:formatCode>
                <c:ptCount val="6"/>
                <c:pt idx="0">
                  <c:v>-25.587206751891863</c:v>
                </c:pt>
                <c:pt idx="1">
                  <c:v>-25.01362528309447</c:v>
                </c:pt>
                <c:pt idx="2">
                  <c:v>-24.384530124027375</c:v>
                </c:pt>
                <c:pt idx="3">
                  <c:v>-23.97518151589281</c:v>
                </c:pt>
                <c:pt idx="4">
                  <c:v>-23.448970973287341</c:v>
                </c:pt>
                <c:pt idx="5">
                  <c:v>-23.066672924460711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0AA-4035-B3DB-07D1BA3DC121}"/>
            </c:ext>
          </c:extLst>
        </c:ser>
        <c:ser>
          <c:idx val="1"/>
          <c:order val="1"/>
          <c:tx>
            <c:v>1%</c:v>
          </c:tx>
          <c:spPr>
            <a:ln w="25400" cap="rnd">
              <a:noFill/>
              <a:round/>
            </a:ln>
            <a:effectLst/>
          </c:spPr>
          <c:marker>
            <c:symbol val="plus"/>
            <c:size val="10"/>
            <c:spPr>
              <a:noFill/>
              <a:ln w="19050">
                <a:solidFill>
                  <a:srgbClr val="00B050"/>
                </a:solidFill>
              </a:ln>
              <a:effectLst/>
            </c:spPr>
          </c:marker>
          <c:errBars>
            <c:errDir val="y"/>
            <c:errBarType val="both"/>
            <c:errValType val="fixedVal"/>
            <c:noEndCap val="0"/>
            <c:val val="2.0000000000000004E-2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'Ln(D) of xylan with 15%cell'!$A$35:$A$40</c:f>
              <c:numCache>
                <c:formatCode>General</c:formatCode>
                <c:ptCount val="6"/>
                <c:pt idx="0">
                  <c:v>3.4129692832764502</c:v>
                </c:pt>
                <c:pt idx="1">
                  <c:v>3.3003300330032999</c:v>
                </c:pt>
                <c:pt idx="2">
                  <c:v>3.19488817891374</c:v>
                </c:pt>
                <c:pt idx="3">
                  <c:v>3.09597523219814</c:v>
                </c:pt>
                <c:pt idx="4">
                  <c:v>3.0030030030030002</c:v>
                </c:pt>
                <c:pt idx="5">
                  <c:v>2.9154518950437298</c:v>
                </c:pt>
              </c:numCache>
            </c:numRef>
          </c:xVal>
          <c:yVal>
            <c:numRef>
              <c:f>'Ln(D) of xylan with 15%cell'!$C$35:$C$40</c:f>
              <c:numCache>
                <c:formatCode>General</c:formatCode>
                <c:ptCount val="6"/>
                <c:pt idx="0">
                  <c:v>-25.682257897890828</c:v>
                </c:pt>
                <c:pt idx="1">
                  <c:v>-24.963792909346594</c:v>
                </c:pt>
                <c:pt idx="2">
                  <c:v>-24.357657105776276</c:v>
                </c:pt>
                <c:pt idx="3">
                  <c:v>-23.917449049224242</c:v>
                </c:pt>
                <c:pt idx="4">
                  <c:v>-23.550099574038587</c:v>
                </c:pt>
                <c:pt idx="5">
                  <c:v>-23.06980281746964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0AA-4035-B3DB-07D1BA3DC121}"/>
            </c:ext>
          </c:extLst>
        </c:ser>
        <c:ser>
          <c:idx val="2"/>
          <c:order val="2"/>
          <c:tx>
            <c:strRef>
              <c:f>'Ln(D) of xylan with 15%cell'!$D$34</c:f>
              <c:strCache>
                <c:ptCount val="1"/>
                <c:pt idx="0">
                  <c:v>3%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10"/>
            <c:spPr>
              <a:noFill/>
              <a:ln w="19050">
                <a:solidFill>
                  <a:srgbClr val="C0000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errBars>
            <c:errDir val="y"/>
            <c:errBarType val="both"/>
            <c:errValType val="fixedVal"/>
            <c:noEndCap val="0"/>
            <c:val val="2.0000000000000004E-2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'Ln(D) of xylan with 15%cell'!$A$35:$A$40</c:f>
              <c:numCache>
                <c:formatCode>General</c:formatCode>
                <c:ptCount val="6"/>
                <c:pt idx="0">
                  <c:v>3.4129692832764502</c:v>
                </c:pt>
                <c:pt idx="1">
                  <c:v>3.3003300330032999</c:v>
                </c:pt>
                <c:pt idx="2">
                  <c:v>3.19488817891374</c:v>
                </c:pt>
                <c:pt idx="3">
                  <c:v>3.09597523219814</c:v>
                </c:pt>
                <c:pt idx="4">
                  <c:v>3.0030030030030002</c:v>
                </c:pt>
                <c:pt idx="5">
                  <c:v>2.9154518950437298</c:v>
                </c:pt>
              </c:numCache>
            </c:numRef>
          </c:xVal>
          <c:yVal>
            <c:numRef>
              <c:f>'Ln(D) of xylan with 15%cell'!$D$35:$D$40</c:f>
              <c:numCache>
                <c:formatCode>General</c:formatCode>
                <c:ptCount val="6"/>
                <c:pt idx="0">
                  <c:v>-25.808086029232044</c:v>
                </c:pt>
                <c:pt idx="1">
                  <c:v>-25.129585164189336</c:v>
                </c:pt>
                <c:pt idx="2">
                  <c:v>-24.535443507404842</c:v>
                </c:pt>
                <c:pt idx="3">
                  <c:v>-24.069975033324496</c:v>
                </c:pt>
                <c:pt idx="4">
                  <c:v>-23.685563334414166</c:v>
                </c:pt>
                <c:pt idx="5">
                  <c:v>-23.351581070029766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0AA-4035-B3DB-07D1BA3DC121}"/>
            </c:ext>
          </c:extLst>
        </c:ser>
        <c:ser>
          <c:idx val="3"/>
          <c:order val="3"/>
          <c:tx>
            <c:strRef>
              <c:f>'Ln(D) of xylan with 15%cell'!$E$34</c:f>
              <c:strCache>
                <c:ptCount val="1"/>
                <c:pt idx="0">
                  <c:v>5%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chemeClr val="accent4"/>
              </a:solidFill>
              <a:ln w="19050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errBars>
            <c:errDir val="y"/>
            <c:errBarType val="both"/>
            <c:errValType val="fixedVal"/>
            <c:noEndCap val="0"/>
            <c:val val="2.0000000000000004E-2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'Ln(D) of xylan with 15%cell'!$A$35:$A$40</c:f>
              <c:numCache>
                <c:formatCode>General</c:formatCode>
                <c:ptCount val="6"/>
                <c:pt idx="0">
                  <c:v>3.4129692832764502</c:v>
                </c:pt>
                <c:pt idx="1">
                  <c:v>3.3003300330032999</c:v>
                </c:pt>
                <c:pt idx="2">
                  <c:v>3.19488817891374</c:v>
                </c:pt>
                <c:pt idx="3">
                  <c:v>3.09597523219814</c:v>
                </c:pt>
                <c:pt idx="4">
                  <c:v>3.0030030030030002</c:v>
                </c:pt>
                <c:pt idx="5">
                  <c:v>2.9154518950437298</c:v>
                </c:pt>
              </c:numCache>
            </c:numRef>
          </c:xVal>
          <c:yVal>
            <c:numRef>
              <c:f>'Ln(D) of xylan with 15%cell'!$E$35:$E$40</c:f>
              <c:numCache>
                <c:formatCode>General</c:formatCode>
                <c:ptCount val="6"/>
                <c:pt idx="0">
                  <c:v>-26.03771258542433</c:v>
                </c:pt>
                <c:pt idx="1">
                  <c:v>-25.308633395638324</c:v>
                </c:pt>
                <c:pt idx="2">
                  <c:v>-24.751822658630509</c:v>
                </c:pt>
                <c:pt idx="3">
                  <c:v>-24.267179520810163</c:v>
                </c:pt>
                <c:pt idx="4">
                  <c:v>-23.785137913004949</c:v>
                </c:pt>
                <c:pt idx="5">
                  <c:v>-23.357136639874369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0AA-4035-B3DB-07D1BA3DC121}"/>
            </c:ext>
          </c:extLst>
        </c:ser>
        <c:ser>
          <c:idx val="4"/>
          <c:order val="4"/>
          <c:tx>
            <c:strRef>
              <c:f>'Ln(D) of xylan with 15%cell'!$F$34</c:f>
              <c:strCache>
                <c:ptCount val="1"/>
                <c:pt idx="0">
                  <c:v>10%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noFill/>
              <a:ln w="19050">
                <a:solidFill>
                  <a:srgbClr val="7030A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7030A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errBars>
            <c:errDir val="y"/>
            <c:errBarType val="both"/>
            <c:errValType val="fixedVal"/>
            <c:noEndCap val="0"/>
            <c:val val="2.0000000000000004E-2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'Ln(D) of xylan with 15%cell'!$A$35:$A$40</c:f>
              <c:numCache>
                <c:formatCode>General</c:formatCode>
                <c:ptCount val="6"/>
                <c:pt idx="0">
                  <c:v>3.4129692832764502</c:v>
                </c:pt>
                <c:pt idx="1">
                  <c:v>3.3003300330032999</c:v>
                </c:pt>
                <c:pt idx="2">
                  <c:v>3.19488817891374</c:v>
                </c:pt>
                <c:pt idx="3">
                  <c:v>3.09597523219814</c:v>
                </c:pt>
                <c:pt idx="4">
                  <c:v>3.0030030030030002</c:v>
                </c:pt>
                <c:pt idx="5">
                  <c:v>2.9154518950437298</c:v>
                </c:pt>
              </c:numCache>
            </c:numRef>
          </c:xVal>
          <c:yVal>
            <c:numRef>
              <c:f>'Ln(D) of xylan with 15%cell'!$F$35:$F$40</c:f>
              <c:numCache>
                <c:formatCode>General</c:formatCode>
                <c:ptCount val="6"/>
                <c:pt idx="0">
                  <c:v>-26.559437499648357</c:v>
                </c:pt>
                <c:pt idx="1">
                  <c:v>-25.80970284445895</c:v>
                </c:pt>
                <c:pt idx="2">
                  <c:v>-25.180016017816229</c:v>
                </c:pt>
                <c:pt idx="3">
                  <c:v>-24.676110836894811</c:v>
                </c:pt>
                <c:pt idx="4">
                  <c:v>-24.213294432315184</c:v>
                </c:pt>
                <c:pt idx="5">
                  <c:v>-23.80673702480841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70AA-4035-B3DB-07D1BA3DC121}"/>
            </c:ext>
          </c:extLst>
        </c:ser>
        <c:ser>
          <c:idx val="5"/>
          <c:order val="5"/>
          <c:tx>
            <c:v>15%</c:v>
          </c:tx>
          <c:spPr>
            <a:ln w="25400" cap="rnd">
              <a:noFill/>
              <a:round/>
            </a:ln>
            <a:effectLst/>
          </c:spPr>
          <c:marker>
            <c:symbol val="dash"/>
            <c:size val="10"/>
            <c:spPr>
              <a:solidFill>
                <a:schemeClr val="accent6"/>
              </a:solidFill>
              <a:ln w="19050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errBars>
            <c:errDir val="y"/>
            <c:errBarType val="both"/>
            <c:errValType val="fixedVal"/>
            <c:noEndCap val="0"/>
            <c:val val="2.0000000000000004E-2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'Ln(D) of xylan with 15%cell'!$A$35:$A$40</c:f>
              <c:numCache>
                <c:formatCode>General</c:formatCode>
                <c:ptCount val="6"/>
                <c:pt idx="0">
                  <c:v>3.4129692832764502</c:v>
                </c:pt>
                <c:pt idx="1">
                  <c:v>3.3003300330032999</c:v>
                </c:pt>
                <c:pt idx="2">
                  <c:v>3.19488817891374</c:v>
                </c:pt>
                <c:pt idx="3">
                  <c:v>3.09597523219814</c:v>
                </c:pt>
                <c:pt idx="4">
                  <c:v>3.0030030030030002</c:v>
                </c:pt>
                <c:pt idx="5">
                  <c:v>2.9154518950437298</c:v>
                </c:pt>
              </c:numCache>
            </c:numRef>
          </c:xVal>
          <c:yVal>
            <c:numRef>
              <c:f>'Ln(D) of xylan with 15%cell'!$G$35:$G$40</c:f>
              <c:numCache>
                <c:formatCode>General</c:formatCode>
                <c:ptCount val="6"/>
                <c:pt idx="0">
                  <c:v>-27.161017486682812</c:v>
                </c:pt>
                <c:pt idx="1">
                  <c:v>-26.311935504502106</c:v>
                </c:pt>
                <c:pt idx="2">
                  <c:v>-25.659721732868416</c:v>
                </c:pt>
                <c:pt idx="3">
                  <c:v>-25.113324643317558</c:v>
                </c:pt>
                <c:pt idx="4">
                  <c:v>-24.625338511521388</c:v>
                </c:pt>
                <c:pt idx="5">
                  <c:v>-24.203506425949019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70AA-4035-B3DB-07D1BA3DC121}"/>
            </c:ext>
          </c:extLst>
        </c:ser>
        <c:ser>
          <c:idx val="6"/>
          <c:order val="6"/>
          <c:tx>
            <c:strRef>
              <c:f>'Ln(D) of xylan with 15%cell'!$H$34</c:f>
              <c:strCache>
                <c:ptCount val="1"/>
                <c:pt idx="0">
                  <c:v>15%C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noFill/>
              <a:ln w="19050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errBars>
            <c:errDir val="y"/>
            <c:errBarType val="both"/>
            <c:errValType val="fixedVal"/>
            <c:noEndCap val="0"/>
            <c:val val="2.0000000000000004E-2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'Ln(D) of xylan with 15%cell'!$A$35:$A$40</c:f>
              <c:numCache>
                <c:formatCode>General</c:formatCode>
                <c:ptCount val="6"/>
                <c:pt idx="0">
                  <c:v>3.4129692832764502</c:v>
                </c:pt>
                <c:pt idx="1">
                  <c:v>3.3003300330032999</c:v>
                </c:pt>
                <c:pt idx="2">
                  <c:v>3.19488817891374</c:v>
                </c:pt>
                <c:pt idx="3">
                  <c:v>3.09597523219814</c:v>
                </c:pt>
                <c:pt idx="4">
                  <c:v>3.0030030030030002</c:v>
                </c:pt>
                <c:pt idx="5">
                  <c:v>2.9154518950437298</c:v>
                </c:pt>
              </c:numCache>
            </c:numRef>
          </c:xVal>
          <c:yVal>
            <c:numRef>
              <c:f>'Ln(D) of xylan with 15%cell'!$H$35:$H$40</c:f>
              <c:numCache>
                <c:formatCode>General</c:formatCode>
                <c:ptCount val="6"/>
                <c:pt idx="0">
                  <c:v>-27.636309410625895</c:v>
                </c:pt>
                <c:pt idx="1">
                  <c:v>-26.867000103074403</c:v>
                </c:pt>
                <c:pt idx="2">
                  <c:v>-26.103431461762508</c:v>
                </c:pt>
                <c:pt idx="3">
                  <c:v>-25.500972879152883</c:v>
                </c:pt>
                <c:pt idx="4">
                  <c:v>-25.039463873898569</c:v>
                </c:pt>
                <c:pt idx="5">
                  <c:v>-24.568276111891617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70AA-4035-B3DB-07D1BA3DC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3748680"/>
        <c:axId val="303749072"/>
      </c:scatterChart>
      <c:valAx>
        <c:axId val="303748680"/>
        <c:scaling>
          <c:orientation val="minMax"/>
          <c:min val="2.9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 sz="16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1000/T (K)</a:t>
                </a:r>
              </a:p>
            </c:rich>
          </c:tx>
          <c:layout>
            <c:manualLayout>
              <c:xMode val="edge"/>
              <c:yMode val="edge"/>
              <c:x val="0.45570180604632904"/>
              <c:y val="0.931521459014768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03749072"/>
        <c:crossesAt val="-28"/>
        <c:crossBetween val="midCat"/>
        <c:majorUnit val="0.1"/>
      </c:valAx>
      <c:valAx>
        <c:axId val="303749072"/>
        <c:scaling>
          <c:orientation val="minMax"/>
          <c:max val="-22"/>
          <c:min val="-2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6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 sz="16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ln</a:t>
                </a:r>
                <a:r>
                  <a:rPr lang="en-GB" sz="1600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</a:t>
                </a:r>
                <a:r>
                  <a:rPr lang="en-GB" sz="18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</a:t>
                </a:r>
                <a:r>
                  <a:rPr lang="en-GB" sz="1200" b="0" i="1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OAc</a:t>
                </a:r>
                <a:r>
                  <a:rPr lang="en-GB" sz="18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/m²s </a:t>
                </a:r>
                <a:r>
                  <a:rPr lang="en-GB" sz="1800" b="0" i="0" baseline="3000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-1</a:t>
                </a:r>
                <a:r>
                  <a:rPr lang="en-GB" sz="1600" b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  <a:endParaRPr lang="en-GB" sz="1600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0256674519042009E-2"/>
              <c:y val="0.317402121122014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600" b="1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03748680"/>
        <c:crosses val="autoZero"/>
        <c:crossBetween val="midCat"/>
        <c:majorUnit val="2"/>
      </c:valAx>
      <c:spPr>
        <a:noFill/>
        <a:ln w="15875">
          <a:solidFill>
            <a:schemeClr val="tx1"/>
          </a:solidFill>
        </a:ln>
        <a:effectLst/>
      </c:spPr>
    </c:plotArea>
    <c:legend>
      <c:legendPos val="r"/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ayout>
        <c:manualLayout>
          <c:xMode val="edge"/>
          <c:yMode val="edge"/>
          <c:x val="0.83075716945514944"/>
          <c:y val="7.2955974842767293E-2"/>
          <c:w val="0.11308722553032434"/>
          <c:h val="0.32683992385358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4009802430632"/>
          <c:y val="5.6012909244270159E-2"/>
          <c:w val="0.82328067650068715"/>
          <c:h val="0.77454881135039788"/>
        </c:manualLayout>
      </c:layout>
      <c:scatterChart>
        <c:scatterStyle val="lineMarker"/>
        <c:varyColors val="0"/>
        <c:ser>
          <c:idx val="5"/>
          <c:order val="0"/>
          <c:tx>
            <c:v>15% C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accent6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'Ln Eta vs 1 over temp '!$A$16:$A$20</c:f>
              <c:numCache>
                <c:formatCode>General</c:formatCode>
                <c:ptCount val="5"/>
                <c:pt idx="0">
                  <c:v>3.4129692832764507</c:v>
                </c:pt>
                <c:pt idx="1">
                  <c:v>3.3003300330033003</c:v>
                </c:pt>
                <c:pt idx="2">
                  <c:v>3.1948881789137378</c:v>
                </c:pt>
                <c:pt idx="3">
                  <c:v>3.0959752321981426</c:v>
                </c:pt>
                <c:pt idx="4">
                  <c:v>3.0030030030030028</c:v>
                </c:pt>
              </c:numCache>
            </c:numRef>
          </c:xVal>
          <c:yVal>
            <c:numRef>
              <c:f>'Ln Eta vs 1 over temp '!$H$16:$H$20</c:f>
              <c:numCache>
                <c:formatCode>General</c:formatCode>
                <c:ptCount val="5"/>
                <c:pt idx="0">
                  <c:v>7.0960589074536395</c:v>
                </c:pt>
                <c:pt idx="1">
                  <c:v>5.9757923777136863</c:v>
                </c:pt>
                <c:pt idx="2">
                  <c:v>5.0804722536850351</c:v>
                </c:pt>
                <c:pt idx="3">
                  <c:v>4.2527717988166192</c:v>
                </c:pt>
                <c:pt idx="4">
                  <c:v>3.5755147681589174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74B-45B2-AAB0-A9BE787F78D2}"/>
            </c:ext>
          </c:extLst>
        </c:ser>
        <c:ser>
          <c:idx val="4"/>
          <c:order val="1"/>
          <c:tx>
            <c:v>15% 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accent5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'Ln Eta vs 1 over temp '!$A$16:$A$20</c:f>
              <c:numCache>
                <c:formatCode>General</c:formatCode>
                <c:ptCount val="5"/>
                <c:pt idx="0">
                  <c:v>3.4129692832764507</c:v>
                </c:pt>
                <c:pt idx="1">
                  <c:v>3.3003300330033003</c:v>
                </c:pt>
                <c:pt idx="2">
                  <c:v>3.1948881789137378</c:v>
                </c:pt>
                <c:pt idx="3">
                  <c:v>3.0959752321981426</c:v>
                </c:pt>
                <c:pt idx="4">
                  <c:v>3.0030030030030028</c:v>
                </c:pt>
              </c:numCache>
            </c:numRef>
          </c:xVal>
          <c:yVal>
            <c:numRef>
              <c:f>'Ln Eta vs 1 over temp '!$G$16:$G$20</c:f>
              <c:numCache>
                <c:formatCode>General</c:formatCode>
                <c:ptCount val="5"/>
                <c:pt idx="0">
                  <c:v>3.9297138078253204</c:v>
                </c:pt>
                <c:pt idx="1">
                  <c:v>2.7733510597210427</c:v>
                </c:pt>
                <c:pt idx="2">
                  <c:v>1.8758009750850924</c:v>
                </c:pt>
                <c:pt idx="3">
                  <c:v>1.1260313214338038</c:v>
                </c:pt>
                <c:pt idx="4">
                  <c:v>0.48132819835101853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74B-45B2-AAB0-A9BE787F78D2}"/>
            </c:ext>
          </c:extLst>
        </c:ser>
        <c:ser>
          <c:idx val="3"/>
          <c:order val="2"/>
          <c:tx>
            <c:v>10% 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10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accent4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'Ln Eta vs 1 over temp '!$A$16:$A$20</c:f>
              <c:numCache>
                <c:formatCode>General</c:formatCode>
                <c:ptCount val="5"/>
                <c:pt idx="0">
                  <c:v>3.4129692832764507</c:v>
                </c:pt>
                <c:pt idx="1">
                  <c:v>3.3003300330033003</c:v>
                </c:pt>
                <c:pt idx="2">
                  <c:v>3.1948881789137378</c:v>
                </c:pt>
                <c:pt idx="3">
                  <c:v>3.0959752321981426</c:v>
                </c:pt>
                <c:pt idx="4">
                  <c:v>3.0030030030030028</c:v>
                </c:pt>
              </c:numCache>
            </c:numRef>
          </c:xVal>
          <c:yVal>
            <c:numRef>
              <c:f>'Ln Eta vs 1 over temp '!$F$16:$F$20</c:f>
              <c:numCache>
                <c:formatCode>General</c:formatCode>
                <c:ptCount val="5"/>
                <c:pt idx="0">
                  <c:v>2.6815906700942391</c:v>
                </c:pt>
                <c:pt idx="1">
                  <c:v>1.7062783361784961</c:v>
                </c:pt>
                <c:pt idx="2">
                  <c:v>0.9058798736420417</c:v>
                </c:pt>
                <c:pt idx="3">
                  <c:v>0.21512222197107334</c:v>
                </c:pt>
                <c:pt idx="4">
                  <c:v>-0.40527745443933544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74B-45B2-AAB0-A9BE787F78D2}"/>
            </c:ext>
          </c:extLst>
        </c:ser>
        <c:ser>
          <c:idx val="2"/>
          <c:order val="3"/>
          <c:tx>
            <c:v>5% 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trendline>
            <c:spPr>
              <a:ln w="12700" cap="rnd">
                <a:solidFill>
                  <a:srgbClr val="C0000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'Ln Eta vs 1 over temp '!$A$16:$A$20</c:f>
              <c:numCache>
                <c:formatCode>General</c:formatCode>
                <c:ptCount val="5"/>
                <c:pt idx="0">
                  <c:v>3.4129692832764507</c:v>
                </c:pt>
                <c:pt idx="1">
                  <c:v>3.3003300330033003</c:v>
                </c:pt>
                <c:pt idx="2">
                  <c:v>3.1948881789137378</c:v>
                </c:pt>
                <c:pt idx="3">
                  <c:v>3.0959752321981426</c:v>
                </c:pt>
                <c:pt idx="4">
                  <c:v>3.0030030030030028</c:v>
                </c:pt>
              </c:numCache>
            </c:numRef>
          </c:xVal>
          <c:yVal>
            <c:numRef>
              <c:f>'Ln Eta vs 1 over temp '!$E$16:$E$20</c:f>
              <c:numCache>
                <c:formatCode>General</c:formatCode>
                <c:ptCount val="5"/>
                <c:pt idx="0">
                  <c:v>0.82653005617720665</c:v>
                </c:pt>
                <c:pt idx="1">
                  <c:v>-2.2527457484465965E-2</c:v>
                </c:pt>
                <c:pt idx="2">
                  <c:v>-0.7229900519603385</c:v>
                </c:pt>
                <c:pt idx="3">
                  <c:v>-1.3508358858933189</c:v>
                </c:pt>
                <c:pt idx="4">
                  <c:v>-1.8506656820116296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F74B-45B2-AAB0-A9BE787F78D2}"/>
            </c:ext>
          </c:extLst>
        </c:ser>
        <c:ser>
          <c:idx val="1"/>
          <c:order val="4"/>
          <c:tx>
            <c:v>3% </c:v>
          </c:tx>
          <c:spPr>
            <a:ln w="25400" cap="rnd">
              <a:noFill/>
              <a:round/>
            </a:ln>
            <a:effectLst/>
          </c:spPr>
          <c:marker>
            <c:symbol val="x"/>
            <c:size val="10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accent2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'Ln Eta vs 1 over temp '!$A$16:$A$20</c:f>
              <c:numCache>
                <c:formatCode>General</c:formatCode>
                <c:ptCount val="5"/>
                <c:pt idx="0">
                  <c:v>3.4129692832764507</c:v>
                </c:pt>
                <c:pt idx="1">
                  <c:v>3.3003300330033003</c:v>
                </c:pt>
                <c:pt idx="2">
                  <c:v>3.1948881789137378</c:v>
                </c:pt>
                <c:pt idx="3">
                  <c:v>3.0959752321981426</c:v>
                </c:pt>
                <c:pt idx="4">
                  <c:v>3.0030030030030028</c:v>
                </c:pt>
              </c:numCache>
            </c:numRef>
          </c:xVal>
          <c:yVal>
            <c:numRef>
              <c:f>'Ln Eta vs 1 over temp '!$D$16:$D$20</c:f>
              <c:numCache>
                <c:formatCode>General</c:formatCode>
                <c:ptCount val="5"/>
                <c:pt idx="0">
                  <c:v>-0.1321056154220048</c:v>
                </c:pt>
                <c:pt idx="1">
                  <c:v>-0.88065390193263604</c:v>
                </c:pt>
                <c:pt idx="2">
                  <c:v>-1.5197012705612354</c:v>
                </c:pt>
                <c:pt idx="3">
                  <c:v>-2.0562136965119837</c:v>
                </c:pt>
                <c:pt idx="4">
                  <c:v>-2.542813209955225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F74B-45B2-AAB0-A9BE787F78D2}"/>
            </c:ext>
          </c:extLst>
        </c:ser>
        <c:ser>
          <c:idx val="0"/>
          <c:order val="5"/>
          <c:tx>
            <c:v>1% 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0"/>
            <c:spPr>
              <a:gradFill>
                <a:gsLst>
                  <a:gs pos="0">
                    <a:srgbClr val="7030A0"/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9525">
                <a:solidFill>
                  <a:srgbClr val="7030A0"/>
                </a:solidFill>
              </a:ln>
              <a:effectLst/>
            </c:spPr>
          </c:marker>
          <c:trendline>
            <c:spPr>
              <a:ln w="12700" cap="rnd">
                <a:solidFill>
                  <a:srgbClr val="7030A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'Ln Eta vs 1 over temp '!$A$16:$A$20</c:f>
              <c:numCache>
                <c:formatCode>General</c:formatCode>
                <c:ptCount val="5"/>
                <c:pt idx="0">
                  <c:v>3.4129692832764507</c:v>
                </c:pt>
                <c:pt idx="1">
                  <c:v>3.3003300330033003</c:v>
                </c:pt>
                <c:pt idx="2">
                  <c:v>3.1948881789137378</c:v>
                </c:pt>
                <c:pt idx="3">
                  <c:v>3.0959752321981426</c:v>
                </c:pt>
                <c:pt idx="4">
                  <c:v>3.0030030030030028</c:v>
                </c:pt>
              </c:numCache>
            </c:numRef>
          </c:xVal>
          <c:yVal>
            <c:numRef>
              <c:f>'Ln Eta vs 1 over temp '!$C$16:$C$20</c:f>
              <c:numCache>
                <c:formatCode>General</c:formatCode>
                <c:ptCount val="5"/>
                <c:pt idx="0">
                  <c:v>-1.0287129650000244</c:v>
                </c:pt>
                <c:pt idx="1">
                  <c:v>-1.646978734741281</c:v>
                </c:pt>
                <c:pt idx="2">
                  <c:v>-2.1892427187188477</c:v>
                </c:pt>
                <c:pt idx="3">
                  <c:v>-2.6116868192710734</c:v>
                </c:pt>
                <c:pt idx="4">
                  <c:v>-2.9616247662303672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F74B-45B2-AAB0-A9BE787F78D2}"/>
            </c:ext>
          </c:extLst>
        </c:ser>
        <c:ser>
          <c:idx val="6"/>
          <c:order val="6"/>
          <c:tx>
            <c:v>0</c:v>
          </c:tx>
          <c:spPr>
            <a:ln w="25400" cap="rnd">
              <a:noFill/>
              <a:round/>
            </a:ln>
            <a:effectLst/>
          </c:spPr>
          <c:marker>
            <c:symbol val="plus"/>
            <c:size val="10"/>
            <c:spPr>
              <a:noFill/>
              <a:ln w="9525">
                <a:solidFill>
                  <a:srgbClr val="00B0F0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accent1">
                    <a:lumMod val="60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'Ln Eta vs 1 over temp '!$A$16:$A$20</c:f>
              <c:numCache>
                <c:formatCode>General</c:formatCode>
                <c:ptCount val="5"/>
                <c:pt idx="0">
                  <c:v>3.4129692832764507</c:v>
                </c:pt>
                <c:pt idx="1">
                  <c:v>3.3003300330033003</c:v>
                </c:pt>
                <c:pt idx="2">
                  <c:v>3.1948881789137378</c:v>
                </c:pt>
                <c:pt idx="3">
                  <c:v>3.0959752321981426</c:v>
                </c:pt>
                <c:pt idx="4">
                  <c:v>3.0030030030030028</c:v>
                </c:pt>
              </c:numCache>
            </c:numRef>
          </c:xVal>
          <c:yVal>
            <c:numRef>
              <c:f>'Ln Eta vs 1 over temp '!$B$16:$B$20</c:f>
              <c:numCache>
                <c:formatCode>General</c:formatCode>
                <c:ptCount val="5"/>
                <c:pt idx="0">
                  <c:v>-1.8062438634290285</c:v>
                </c:pt>
                <c:pt idx="1">
                  <c:v>-2.4564124917489281</c:v>
                </c:pt>
                <c:pt idx="2">
                  <c:v>-2.9724064482504944</c:v>
                </c:pt>
                <c:pt idx="3">
                  <c:v>-3.4170219320091269</c:v>
                </c:pt>
                <c:pt idx="4">
                  <c:v>-3.7813456817865299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F74B-45B2-AAB0-A9BE787F7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390928"/>
        <c:axId val="304391320"/>
      </c:scatterChart>
      <c:valAx>
        <c:axId val="304390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mbria" panose="02040503050406030204" pitchFamily="18" charset="0"/>
                    <a:ea typeface="+mn-ea"/>
                    <a:cs typeface="+mn-cs"/>
                  </a:defRPr>
                </a:pPr>
                <a:r>
                  <a:rPr lang="en-GB" sz="1600" b="1">
                    <a:latin typeface="Cambria" panose="02040503050406030204" pitchFamily="18" charset="0"/>
                  </a:rPr>
                  <a:t>1000/ T (K )</a:t>
                </a:r>
              </a:p>
            </c:rich>
          </c:tx>
          <c:layout>
            <c:manualLayout>
              <c:xMode val="edge"/>
              <c:yMode val="edge"/>
              <c:x val="0.43593422635609957"/>
              <c:y val="0.933233394390515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mbria" panose="020405030504060302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low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+mn-ea"/>
                <a:cs typeface="+mn-cs"/>
              </a:defRPr>
            </a:pPr>
            <a:endParaRPr lang="en-US"/>
          </a:p>
        </c:txPr>
        <c:crossAx val="304391320"/>
        <c:crossesAt val="-6"/>
        <c:crossBetween val="midCat"/>
      </c:valAx>
      <c:valAx>
        <c:axId val="3043913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mbria" panose="02040503050406030204" pitchFamily="18" charset="0"/>
                    <a:ea typeface="+mn-ea"/>
                    <a:cs typeface="+mn-cs"/>
                  </a:defRPr>
                </a:pPr>
                <a:r>
                  <a:rPr lang="en-GB" sz="1600" b="1">
                    <a:latin typeface="Cambria" panose="02040503050406030204" pitchFamily="18" charset="0"/>
                  </a:rPr>
                  <a:t>ln (</a:t>
                </a:r>
                <a:r>
                  <a:rPr lang="el-GR" sz="1600" b="1">
                    <a:latin typeface="Cambria" panose="02040503050406030204" pitchFamily="18" charset="0"/>
                    <a:cs typeface="Arial" panose="020B0604020202020204" pitchFamily="34" charset="0"/>
                  </a:rPr>
                  <a:t>η</a:t>
                </a:r>
                <a:r>
                  <a:rPr lang="en-GB" sz="1600" b="1" baseline="0">
                    <a:latin typeface="Cambria" panose="02040503050406030204" pitchFamily="18" charset="0"/>
                    <a:cs typeface="Arial" panose="020B0604020202020204" pitchFamily="34" charset="0"/>
                  </a:rPr>
                  <a:t>˳</a:t>
                </a:r>
                <a:r>
                  <a:rPr lang="en-GB" sz="1600" b="1" baseline="0">
                    <a:latin typeface="Cambria" panose="02040503050406030204" pitchFamily="18" charset="0"/>
                    <a:cs typeface="Calibri" panose="020F0502020204030204" pitchFamily="34" charset="0"/>
                  </a:rPr>
                  <a:t> </a:t>
                </a:r>
                <a:r>
                  <a:rPr lang="en-GB" sz="1600" b="1">
                    <a:latin typeface="Cambria" panose="02040503050406030204" pitchFamily="18" charset="0"/>
                    <a:cs typeface="Arial" panose="020B0604020202020204" pitchFamily="34" charset="0"/>
                  </a:rPr>
                  <a:t>/pa.s)</a:t>
                </a:r>
                <a:endParaRPr lang="en-GB" sz="1600" b="1">
                  <a:latin typeface="Cambria" panose="02040503050406030204" pitchFamily="18" charset="0"/>
                </a:endParaRPr>
              </a:p>
            </c:rich>
          </c:tx>
          <c:layout>
            <c:manualLayout>
              <c:xMode val="edge"/>
              <c:yMode val="edge"/>
              <c:x val="6.3343088181746698E-3"/>
              <c:y val="0.32465534553471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mbria" panose="020405030504060302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+mn-ea"/>
                <a:cs typeface="+mn-cs"/>
              </a:defRPr>
            </a:pPr>
            <a:endParaRPr lang="en-US"/>
          </a:p>
        </c:txPr>
        <c:crossAx val="304390928"/>
        <c:crossesAt val="0"/>
        <c:crossBetween val="midCat"/>
        <c:majorUnit val="2"/>
      </c:valAx>
      <c:spPr>
        <a:noFill/>
        <a:ln w="15875">
          <a:solidFill>
            <a:schemeClr val="tx1"/>
          </a:solidFill>
        </a:ln>
        <a:effectLst/>
      </c:spPr>
    </c:plotArea>
    <c:legend>
      <c:legendPos val="r"/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ayout>
        <c:manualLayout>
          <c:xMode val="edge"/>
          <c:yMode val="edge"/>
          <c:x val="0.83960318709915649"/>
          <c:y val="7.8486038243416059E-2"/>
          <c:w val="8.950310048031454E-2"/>
          <c:h val="0.554555596431252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65886455973827"/>
          <c:y val="5.8892463122627886E-2"/>
          <c:w val="0.80307888292206153"/>
          <c:h val="0.77783880376058512"/>
        </c:manualLayout>
      </c:layout>
      <c:scatterChart>
        <c:scatterStyle val="lineMarker"/>
        <c:varyColors val="0"/>
        <c:ser>
          <c:idx val="0"/>
          <c:order val="0"/>
          <c:tx>
            <c:strRef>
              <c:f>'Ratio of Dan to Dcat'!$B$4</c:f>
              <c:strCache>
                <c:ptCount val="1"/>
                <c:pt idx="0">
                  <c:v>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'Ratio of Dan to Dcat'!$A$5:$A$10</c:f>
              <c:numCache>
                <c:formatCode>General</c:formatCode>
                <c:ptCount val="6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</c:numCache>
            </c:numRef>
          </c:xVal>
          <c:yVal>
            <c:numRef>
              <c:f>'Ratio of Dan to Dcat'!$B$5:$B$10</c:f>
              <c:numCache>
                <c:formatCode>General</c:formatCode>
                <c:ptCount val="6"/>
                <c:pt idx="0">
                  <c:v>0.80707318513076509</c:v>
                </c:pt>
                <c:pt idx="1">
                  <c:v>0.85291360267190108</c:v>
                </c:pt>
                <c:pt idx="2">
                  <c:v>0.84308197607838165</c:v>
                </c:pt>
                <c:pt idx="3">
                  <c:v>0.8415748936416978</c:v>
                </c:pt>
                <c:pt idx="4">
                  <c:v>0.90014072429033187</c:v>
                </c:pt>
                <c:pt idx="5">
                  <c:v>0.90326983680924944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5F4-4CE0-8154-17EB56055B2C}"/>
            </c:ext>
          </c:extLst>
        </c:ser>
        <c:ser>
          <c:idx val="7"/>
          <c:order val="1"/>
          <c:tx>
            <c:v>1%C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'Ratio of Dan to Dcat'!$A$5:$A$10</c:f>
              <c:numCache>
                <c:formatCode>General</c:formatCode>
                <c:ptCount val="6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</c:numCache>
            </c:numRef>
          </c:xVal>
          <c:yVal>
            <c:numRef>
              <c:f>'Ratio of Dan to Dcat'!$H$5:$H$10</c:f>
              <c:numCache>
                <c:formatCode>General</c:formatCode>
                <c:ptCount val="6"/>
                <c:pt idx="0">
                  <c:v>0.84650772138125874</c:v>
                </c:pt>
                <c:pt idx="1">
                  <c:v>0.85574272588055122</c:v>
                </c:pt>
                <c:pt idx="2">
                  <c:v>0.86378737541528228</c:v>
                </c:pt>
                <c:pt idx="3">
                  <c:v>0.87927160931772508</c:v>
                </c:pt>
                <c:pt idx="4">
                  <c:v>0.88653617724526168</c:v>
                </c:pt>
                <c:pt idx="5">
                  <c:v>0.91595027112815763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A8B-441A-9E95-70A5A2AD08F6}"/>
            </c:ext>
          </c:extLst>
        </c:ser>
        <c:ser>
          <c:idx val="1"/>
          <c:order val="2"/>
          <c:tx>
            <c:v>1%</c:v>
          </c:tx>
          <c:spPr>
            <a:ln w="25400" cap="rnd">
              <a:noFill/>
              <a:round/>
            </a:ln>
            <a:effectLst/>
          </c:spPr>
          <c:marker>
            <c:symbol val="x"/>
            <c:size val="10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'Ratio of Dan to Dcat'!$A$5:$A$10</c:f>
              <c:numCache>
                <c:formatCode>General</c:formatCode>
                <c:ptCount val="6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</c:numCache>
            </c:numRef>
          </c:xVal>
          <c:yVal>
            <c:numRef>
              <c:f>'Ratio of Dan to Dcat'!$C$5:$C$10</c:f>
              <c:numCache>
                <c:formatCode>General</c:formatCode>
                <c:ptCount val="6"/>
                <c:pt idx="0">
                  <c:v>0.84403743261928155</c:v>
                </c:pt>
                <c:pt idx="1">
                  <c:v>0.85918854415274448</c:v>
                </c:pt>
                <c:pt idx="2">
                  <c:v>0.87688219663418976</c:v>
                </c:pt>
                <c:pt idx="3">
                  <c:v>0.88435129597009032</c:v>
                </c:pt>
                <c:pt idx="4">
                  <c:v>0.89624545821558343</c:v>
                </c:pt>
                <c:pt idx="5">
                  <c:v>0.92957746478873249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F4-4CE0-8154-17EB56055B2C}"/>
            </c:ext>
          </c:extLst>
        </c:ser>
        <c:ser>
          <c:idx val="2"/>
          <c:order val="3"/>
          <c:tx>
            <c:v>3%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trendline>
            <c:spPr>
              <a:ln w="12700" cap="rnd">
                <a:solidFill>
                  <a:srgbClr val="C0000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'Ratio of Dan to Dcat'!$A$5:$A$10</c:f>
              <c:numCache>
                <c:formatCode>General</c:formatCode>
                <c:ptCount val="6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</c:numCache>
            </c:numRef>
          </c:xVal>
          <c:yVal>
            <c:numRef>
              <c:f>'Ratio of Dan to Dcat'!$D$5:$D$10</c:f>
              <c:numCache>
                <c:formatCode>General</c:formatCode>
                <c:ptCount val="6"/>
                <c:pt idx="0">
                  <c:v>0.84881727802536866</c:v>
                </c:pt>
                <c:pt idx="1">
                  <c:v>0.85724323691298754</c:v>
                </c:pt>
                <c:pt idx="2">
                  <c:v>0.87386318703044685</c:v>
                </c:pt>
                <c:pt idx="3">
                  <c:v>0.87963348604748015</c:v>
                </c:pt>
                <c:pt idx="4">
                  <c:v>0.9183220344000711</c:v>
                </c:pt>
                <c:pt idx="5">
                  <c:v>0.92700776786287464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5F4-4CE0-8154-17EB56055B2C}"/>
            </c:ext>
          </c:extLst>
        </c:ser>
        <c:ser>
          <c:idx val="3"/>
          <c:order val="4"/>
          <c:tx>
            <c:v>5%</c:v>
          </c:tx>
          <c:spPr>
            <a:ln w="25400" cap="rnd">
              <a:noFill/>
              <a:round/>
            </a:ln>
            <a:effectLst/>
          </c:spPr>
          <c:marker>
            <c:symbol val="plus"/>
            <c:size val="10"/>
            <c:spPr>
              <a:noFill/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'Ratio of Dan to Dcat'!$A$5:$A$10</c:f>
              <c:numCache>
                <c:formatCode>General</c:formatCode>
                <c:ptCount val="6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</c:numCache>
            </c:numRef>
          </c:xVal>
          <c:yVal>
            <c:numRef>
              <c:f>'Ratio of Dan to Dcat'!$E$5:$E$10</c:f>
              <c:numCache>
                <c:formatCode>General</c:formatCode>
                <c:ptCount val="6"/>
                <c:pt idx="0">
                  <c:v>0.83588175331294601</c:v>
                </c:pt>
                <c:pt idx="1">
                  <c:v>0.84472049689440998</c:v>
                </c:pt>
                <c:pt idx="2">
                  <c:v>0.86582894203486016</c:v>
                </c:pt>
                <c:pt idx="3">
                  <c:v>0.87553648068669532</c:v>
                </c:pt>
                <c:pt idx="4">
                  <c:v>0.88964927288280593</c:v>
                </c:pt>
                <c:pt idx="5">
                  <c:v>0.89098467456722719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5F4-4CE0-8154-17EB56055B2C}"/>
            </c:ext>
          </c:extLst>
        </c:ser>
        <c:ser>
          <c:idx val="4"/>
          <c:order val="5"/>
          <c:tx>
            <c:v>10%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10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accent5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'Ratio of Dan to Dcat'!$A$5:$A$10</c:f>
              <c:numCache>
                <c:formatCode>General</c:formatCode>
                <c:ptCount val="6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</c:numCache>
            </c:numRef>
          </c:xVal>
          <c:yVal>
            <c:numRef>
              <c:f>'Ratio of Dan to Dcat'!$F$5:$F$10</c:f>
              <c:numCache>
                <c:formatCode>General</c:formatCode>
                <c:ptCount val="6"/>
                <c:pt idx="0">
                  <c:v>0.82563619227144214</c:v>
                </c:pt>
                <c:pt idx="1">
                  <c:v>0.83084989580765878</c:v>
                </c:pt>
                <c:pt idx="2">
                  <c:v>0.83926202821656815</c:v>
                </c:pt>
                <c:pt idx="3">
                  <c:v>0.84519442406456335</c:v>
                </c:pt>
                <c:pt idx="4">
                  <c:v>0.84792882958020566</c:v>
                </c:pt>
                <c:pt idx="5">
                  <c:v>0.85735679520778729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5F4-4CE0-8154-17EB56055B2C}"/>
            </c:ext>
          </c:extLst>
        </c:ser>
        <c:ser>
          <c:idx val="5"/>
          <c:order val="6"/>
          <c:tx>
            <c:v>15%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noFill/>
              <a:ln w="9525">
                <a:solidFill>
                  <a:schemeClr val="accent6"/>
                </a:solidFill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'Ratio of Dan to Dcat'!$A$5:$A$10</c:f>
              <c:numCache>
                <c:formatCode>General</c:formatCode>
                <c:ptCount val="6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</c:numCache>
            </c:numRef>
          </c:xVal>
          <c:yVal>
            <c:numRef>
              <c:f>'Ratio of Dan to Dcat'!$G$5:$G$10</c:f>
              <c:numCache>
                <c:formatCode>General</c:formatCode>
                <c:ptCount val="6"/>
                <c:pt idx="0">
                  <c:v>0.86608206127530563</c:v>
                </c:pt>
                <c:pt idx="1">
                  <c:v>0.82648280738972857</c:v>
                </c:pt>
                <c:pt idx="2">
                  <c:v>0.82588857789195202</c:v>
                </c:pt>
                <c:pt idx="3">
                  <c:v>0.82419408441342634</c:v>
                </c:pt>
                <c:pt idx="4">
                  <c:v>0.83236041480667522</c:v>
                </c:pt>
                <c:pt idx="5">
                  <c:v>0.83370928448975901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5F4-4CE0-8154-17EB56055B2C}"/>
            </c:ext>
          </c:extLst>
        </c:ser>
        <c:ser>
          <c:idx val="6"/>
          <c:order val="7"/>
          <c:tx>
            <c:v>15%C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trendline>
            <c:spPr>
              <a:ln w="12700" cap="rnd">
                <a:solidFill>
                  <a:srgbClr val="7030A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'Ratio of Dan to Dcat'!$A$5:$A$10</c:f>
              <c:numCache>
                <c:formatCode>General</c:formatCode>
                <c:ptCount val="6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</c:numCache>
            </c:numRef>
          </c:xVal>
          <c:yVal>
            <c:numRef>
              <c:f>'Ratio of Dan to Dcat'!$I$5:$I$10</c:f>
              <c:numCache>
                <c:formatCode>General</c:formatCode>
                <c:ptCount val="6"/>
                <c:pt idx="0">
                  <c:v>0.75379229871645281</c:v>
                </c:pt>
                <c:pt idx="1">
                  <c:v>0.74229758777167432</c:v>
                </c:pt>
                <c:pt idx="2">
                  <c:v>0.76259568148063517</c:v>
                </c:pt>
                <c:pt idx="3">
                  <c:v>0.75389702409069437</c:v>
                </c:pt>
                <c:pt idx="4">
                  <c:v>0.72898272552783117</c:v>
                </c:pt>
                <c:pt idx="5">
                  <c:v>0.76668136853380386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218-4B7D-BA11-07A36FE9D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3748288"/>
        <c:axId val="304392104"/>
      </c:scatterChart>
      <c:valAx>
        <c:axId val="303748288"/>
        <c:scaling>
          <c:orientation val="minMax"/>
          <c:max val="80"/>
          <c:min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 sz="12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Temperature/</a:t>
                </a:r>
                <a:r>
                  <a:rPr lang="en-GB" sz="1200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°C</a:t>
                </a:r>
                <a:endParaRPr lang="en-GB" sz="1200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297079915219803"/>
              <c:y val="0.922684198950380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04392104"/>
        <c:crosses val="autoZero"/>
        <c:crossBetween val="midCat"/>
        <c:majorUnit val="20"/>
      </c:valAx>
      <c:valAx>
        <c:axId val="304392104"/>
        <c:scaling>
          <c:orientation val="minMax"/>
          <c:max val="1.4"/>
          <c:min val="0.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 sz="1400" b="1" i="1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</a:t>
                </a:r>
                <a:r>
                  <a:rPr lang="en-GB" sz="1200" b="0" i="1" baseline="-2500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OAc </a:t>
                </a:r>
                <a:r>
                  <a:rPr lang="en-GB" sz="1400" b="1" i="1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/ D</a:t>
                </a:r>
                <a:r>
                  <a:rPr lang="en-GB" sz="1200" b="0" i="1" baseline="-2500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C2MIM</a:t>
                </a:r>
                <a:endParaRPr lang="en-GB" sz="1400" b="0" i="1" baseline="-250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6.5613202459281631E-3"/>
              <c:y val="0.284815922475821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in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03748288"/>
        <c:crosses val="autoZero"/>
        <c:crossBetween val="midCat"/>
        <c:majorUnit val="0.2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.69420880967284948"/>
          <c:y val="6.8876042625281714E-2"/>
          <c:w val="0.24882636532358146"/>
          <c:h val="0.282397475829660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54283579746315"/>
          <c:y val="4.0402668416447941E-2"/>
          <c:w val="0.82847174515322142"/>
          <c:h val="0.80037626365655756"/>
        </c:manualLayout>
      </c:layout>
      <c:scatterChart>
        <c:scatterStyle val="lineMarker"/>
        <c:varyColors val="0"/>
        <c:ser>
          <c:idx val="0"/>
          <c:order val="0"/>
          <c:tx>
            <c:v>20C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'Ratio of Dan to Dcat'!$B$4:$G$4</c:f>
              <c:numCache>
                <c:formatCode>General</c:formatCode>
                <c:ptCount val="6"/>
                <c:pt idx="0">
                  <c:v>0</c:v>
                </c:pt>
                <c:pt idx="1">
                  <c:v>0.01</c:v>
                </c:pt>
                <c:pt idx="2">
                  <c:v>0.03</c:v>
                </c:pt>
                <c:pt idx="3">
                  <c:v>0.05</c:v>
                </c:pt>
                <c:pt idx="4">
                  <c:v>0.1</c:v>
                </c:pt>
                <c:pt idx="5">
                  <c:v>0.15</c:v>
                </c:pt>
              </c:numCache>
            </c:numRef>
          </c:xVal>
          <c:yVal>
            <c:numRef>
              <c:f>'Ratio of Dan to Dcat'!$B$5:$G$5</c:f>
              <c:numCache>
                <c:formatCode>General</c:formatCode>
                <c:ptCount val="6"/>
                <c:pt idx="0">
                  <c:v>0.80707318513076509</c:v>
                </c:pt>
                <c:pt idx="1">
                  <c:v>0.84403743261928155</c:v>
                </c:pt>
                <c:pt idx="2">
                  <c:v>0.84881727802536866</c:v>
                </c:pt>
                <c:pt idx="3">
                  <c:v>0.83588175331294601</c:v>
                </c:pt>
                <c:pt idx="4">
                  <c:v>0.82563619227144214</c:v>
                </c:pt>
                <c:pt idx="5">
                  <c:v>0.86608206127530563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1C4-4D82-BFA9-D3580BFC2313}"/>
            </c:ext>
          </c:extLst>
        </c:ser>
        <c:ser>
          <c:idx val="1"/>
          <c:order val="1"/>
          <c:tx>
            <c:v>30C</c:v>
          </c:tx>
          <c:spPr>
            <a:ln w="25400" cap="rnd">
              <a:noFill/>
              <a:round/>
            </a:ln>
            <a:effectLst/>
          </c:spPr>
          <c:marker>
            <c:symbol val="x"/>
            <c:size val="10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'Ratio of Dan to Dcat'!$B$4:$G$4</c:f>
              <c:numCache>
                <c:formatCode>General</c:formatCode>
                <c:ptCount val="6"/>
                <c:pt idx="0">
                  <c:v>0</c:v>
                </c:pt>
                <c:pt idx="1">
                  <c:v>0.01</c:v>
                </c:pt>
                <c:pt idx="2">
                  <c:v>0.03</c:v>
                </c:pt>
                <c:pt idx="3">
                  <c:v>0.05</c:v>
                </c:pt>
                <c:pt idx="4">
                  <c:v>0.1</c:v>
                </c:pt>
                <c:pt idx="5">
                  <c:v>0.15</c:v>
                </c:pt>
              </c:numCache>
            </c:numRef>
          </c:xVal>
          <c:yVal>
            <c:numRef>
              <c:f>'Ratio of Dan to Dcat'!$B$6:$G$6</c:f>
              <c:numCache>
                <c:formatCode>General</c:formatCode>
                <c:ptCount val="6"/>
                <c:pt idx="0">
                  <c:v>0.85291360267190108</c:v>
                </c:pt>
                <c:pt idx="1">
                  <c:v>0.85918854415274448</c:v>
                </c:pt>
                <c:pt idx="2">
                  <c:v>0.85724323691298754</c:v>
                </c:pt>
                <c:pt idx="3">
                  <c:v>0.84472049689440998</c:v>
                </c:pt>
                <c:pt idx="4">
                  <c:v>0.83084989580765878</c:v>
                </c:pt>
                <c:pt idx="5">
                  <c:v>0.82648280738972857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1C4-4D82-BFA9-D3580BFC2313}"/>
            </c:ext>
          </c:extLst>
        </c:ser>
        <c:ser>
          <c:idx val="2"/>
          <c:order val="2"/>
          <c:tx>
            <c:v>40C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'Ratio of Dan to Dcat'!$B$4:$G$4</c:f>
              <c:numCache>
                <c:formatCode>General</c:formatCode>
                <c:ptCount val="6"/>
                <c:pt idx="0">
                  <c:v>0</c:v>
                </c:pt>
                <c:pt idx="1">
                  <c:v>0.01</c:v>
                </c:pt>
                <c:pt idx="2">
                  <c:v>0.03</c:v>
                </c:pt>
                <c:pt idx="3">
                  <c:v>0.05</c:v>
                </c:pt>
                <c:pt idx="4">
                  <c:v>0.1</c:v>
                </c:pt>
                <c:pt idx="5">
                  <c:v>0.15</c:v>
                </c:pt>
              </c:numCache>
            </c:numRef>
          </c:xVal>
          <c:yVal>
            <c:numRef>
              <c:f>'Ratio of Dan to Dcat'!$B$7:$G$7</c:f>
              <c:numCache>
                <c:formatCode>General</c:formatCode>
                <c:ptCount val="6"/>
                <c:pt idx="0">
                  <c:v>0.84308197607838165</c:v>
                </c:pt>
                <c:pt idx="1">
                  <c:v>0.87688219663418976</c:v>
                </c:pt>
                <c:pt idx="2">
                  <c:v>0.87386318703044685</c:v>
                </c:pt>
                <c:pt idx="3">
                  <c:v>0.86582894203486016</c:v>
                </c:pt>
                <c:pt idx="4">
                  <c:v>0.83926202821656815</c:v>
                </c:pt>
                <c:pt idx="5">
                  <c:v>0.82588857789195202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1C4-4D82-BFA9-D3580BFC2313}"/>
            </c:ext>
          </c:extLst>
        </c:ser>
        <c:ser>
          <c:idx val="3"/>
          <c:order val="3"/>
          <c:tx>
            <c:v>50C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'Ratio of Dan to Dcat'!$B$4:$G$4</c:f>
              <c:numCache>
                <c:formatCode>General</c:formatCode>
                <c:ptCount val="6"/>
                <c:pt idx="0">
                  <c:v>0</c:v>
                </c:pt>
                <c:pt idx="1">
                  <c:v>0.01</c:v>
                </c:pt>
                <c:pt idx="2">
                  <c:v>0.03</c:v>
                </c:pt>
                <c:pt idx="3">
                  <c:v>0.05</c:v>
                </c:pt>
                <c:pt idx="4">
                  <c:v>0.1</c:v>
                </c:pt>
                <c:pt idx="5">
                  <c:v>0.15</c:v>
                </c:pt>
              </c:numCache>
            </c:numRef>
          </c:xVal>
          <c:yVal>
            <c:numRef>
              <c:f>'Ratio of Dan to Dcat'!$B$8:$G$8</c:f>
              <c:numCache>
                <c:formatCode>General</c:formatCode>
                <c:ptCount val="6"/>
                <c:pt idx="0">
                  <c:v>0.8415748936416978</c:v>
                </c:pt>
                <c:pt idx="1">
                  <c:v>0.88435129597009032</c:v>
                </c:pt>
                <c:pt idx="2">
                  <c:v>0.87963348604748015</c:v>
                </c:pt>
                <c:pt idx="3">
                  <c:v>0.87553648068669532</c:v>
                </c:pt>
                <c:pt idx="4">
                  <c:v>0.84519442406456335</c:v>
                </c:pt>
                <c:pt idx="5">
                  <c:v>0.82419408441342634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1C4-4D82-BFA9-D3580BFC2313}"/>
            </c:ext>
          </c:extLst>
        </c:ser>
        <c:ser>
          <c:idx val="4"/>
          <c:order val="4"/>
          <c:tx>
            <c:v>60C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0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'Ratio of Dan to Dcat'!$B$4:$G$4</c:f>
              <c:numCache>
                <c:formatCode>General</c:formatCode>
                <c:ptCount val="6"/>
                <c:pt idx="0">
                  <c:v>0</c:v>
                </c:pt>
                <c:pt idx="1">
                  <c:v>0.01</c:v>
                </c:pt>
                <c:pt idx="2">
                  <c:v>0.03</c:v>
                </c:pt>
                <c:pt idx="3">
                  <c:v>0.05</c:v>
                </c:pt>
                <c:pt idx="4">
                  <c:v>0.1</c:v>
                </c:pt>
                <c:pt idx="5">
                  <c:v>0.15</c:v>
                </c:pt>
              </c:numCache>
            </c:numRef>
          </c:xVal>
          <c:yVal>
            <c:numRef>
              <c:f>'Ratio of Dan to Dcat'!$B$9:$G$9</c:f>
              <c:numCache>
                <c:formatCode>General</c:formatCode>
                <c:ptCount val="6"/>
                <c:pt idx="0">
                  <c:v>0.90014072429033187</c:v>
                </c:pt>
                <c:pt idx="1">
                  <c:v>0.89624545821558343</c:v>
                </c:pt>
                <c:pt idx="2">
                  <c:v>0.9183220344000711</c:v>
                </c:pt>
                <c:pt idx="3">
                  <c:v>0.88964927288280593</c:v>
                </c:pt>
                <c:pt idx="4">
                  <c:v>0.84792882958020566</c:v>
                </c:pt>
                <c:pt idx="5">
                  <c:v>0.83236041480667522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1C4-4D82-BFA9-D3580BFC2313}"/>
            </c:ext>
          </c:extLst>
        </c:ser>
        <c:ser>
          <c:idx val="5"/>
          <c:order val="5"/>
          <c:tx>
            <c:v>70C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10"/>
            <c:spPr>
              <a:noFill/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'Ratio of Dan to Dcat'!$B$4:$G$4</c:f>
              <c:numCache>
                <c:formatCode>General</c:formatCode>
                <c:ptCount val="6"/>
                <c:pt idx="0">
                  <c:v>0</c:v>
                </c:pt>
                <c:pt idx="1">
                  <c:v>0.01</c:v>
                </c:pt>
                <c:pt idx="2">
                  <c:v>0.03</c:v>
                </c:pt>
                <c:pt idx="3">
                  <c:v>0.05</c:v>
                </c:pt>
                <c:pt idx="4">
                  <c:v>0.1</c:v>
                </c:pt>
                <c:pt idx="5">
                  <c:v>0.15</c:v>
                </c:pt>
              </c:numCache>
            </c:numRef>
          </c:xVal>
          <c:yVal>
            <c:numRef>
              <c:f>'Ratio of Dan to Dcat'!$B$10:$G$10</c:f>
              <c:numCache>
                <c:formatCode>General</c:formatCode>
                <c:ptCount val="6"/>
                <c:pt idx="0">
                  <c:v>0.90326983680924944</c:v>
                </c:pt>
                <c:pt idx="1">
                  <c:v>0.92957746478873249</c:v>
                </c:pt>
                <c:pt idx="2">
                  <c:v>0.92700776786287464</c:v>
                </c:pt>
                <c:pt idx="3">
                  <c:v>0.89098467456722719</c:v>
                </c:pt>
                <c:pt idx="4">
                  <c:v>0.85735679520778729</c:v>
                </c:pt>
                <c:pt idx="5">
                  <c:v>0.83370928448975901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1C4-4D82-BFA9-D3580BFC2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392888"/>
        <c:axId val="304393280"/>
      </c:scatterChart>
      <c:valAx>
        <c:axId val="304392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mbria" panose="02040503050406030204" pitchFamily="18" charset="0"/>
                    <a:ea typeface="+mn-ea"/>
                    <a:cs typeface="+mn-cs"/>
                  </a:defRPr>
                </a:pPr>
                <a:r>
                  <a:rPr lang="en-GB" sz="1200" b="1">
                    <a:latin typeface="Cambria" panose="02040503050406030204" pitchFamily="18" charset="0"/>
                  </a:rPr>
                  <a:t>Weight  fraction of xylan </a:t>
                </a:r>
              </a:p>
            </c:rich>
          </c:tx>
          <c:layout>
            <c:manualLayout>
              <c:xMode val="edge"/>
              <c:yMode val="edge"/>
              <c:x val="0.34697662376078947"/>
              <c:y val="0.933331090052310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mbria" panose="020405030504060302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393280"/>
        <c:crosses val="autoZero"/>
        <c:crossBetween val="midCat"/>
        <c:majorUnit val="5.000000000000001E-2"/>
      </c:valAx>
      <c:valAx>
        <c:axId val="304393280"/>
        <c:scaling>
          <c:orientation val="minMax"/>
          <c:max val="1.4"/>
          <c:min val="0.60000000000000009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mbria" panose="02040503050406030204" pitchFamily="18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600" b="1" i="0" baseline="0">
                    <a:effectLst/>
                    <a:latin typeface="Cambria" panose="02040503050406030204" pitchFamily="18" charset="0"/>
                    <a:cs typeface="Arial" panose="020B0604020202020204" pitchFamily="34" charset="0"/>
                  </a:rPr>
                  <a:t>D</a:t>
                </a:r>
                <a:r>
                  <a:rPr lang="en-GB" sz="1200" b="0" i="0" baseline="0">
                    <a:effectLst/>
                    <a:latin typeface="Cambria" panose="02040503050406030204" pitchFamily="18" charset="0"/>
                    <a:cs typeface="Arial" panose="020B0604020202020204" pitchFamily="34" charset="0"/>
                  </a:rPr>
                  <a:t>OAc</a:t>
                </a:r>
                <a:r>
                  <a:rPr lang="en-GB" sz="1600" b="1" i="0" baseline="0">
                    <a:effectLst/>
                    <a:latin typeface="Cambria" panose="02040503050406030204" pitchFamily="18" charset="0"/>
                    <a:cs typeface="Arial" panose="020B0604020202020204" pitchFamily="34" charset="0"/>
                  </a:rPr>
                  <a:t>/D</a:t>
                </a:r>
                <a:r>
                  <a:rPr lang="en-GB" sz="1200" b="0" i="0" baseline="0">
                    <a:effectLst/>
                    <a:latin typeface="Cambria" panose="02040503050406030204" pitchFamily="18" charset="0"/>
                    <a:cs typeface="Arial" panose="020B0604020202020204" pitchFamily="34" charset="0"/>
                  </a:rPr>
                  <a:t>C2MIM</a:t>
                </a:r>
                <a:endParaRPr lang="en-GB" sz="1600" b="0">
                  <a:effectLst/>
                  <a:latin typeface="Cambria" panose="02040503050406030204" pitchFamily="18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1458970569393542E-2"/>
              <c:y val="0.298665247725756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mbria" panose="02040503050406030204" pitchFamily="18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in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392888"/>
        <c:crosses val="autoZero"/>
        <c:crossBetween val="midCat"/>
        <c:majorUnit val="0.2"/>
      </c:valAx>
      <c:spPr>
        <a:noFill/>
        <a:ln w="15875">
          <a:solidFill>
            <a:schemeClr val="tx1"/>
          </a:solidFill>
        </a:ln>
        <a:effectLst/>
      </c:spPr>
    </c:plotArea>
    <c:legend>
      <c:legendPos val="r"/>
      <c:legendEntry>
        <c:idx val="6"/>
        <c:delete val="1"/>
      </c:legendEntry>
      <c:layout>
        <c:manualLayout>
          <c:xMode val="edge"/>
          <c:yMode val="edge"/>
          <c:x val="0.81683289588801389"/>
          <c:y val="0.21198281272856342"/>
          <c:w val="0.12213905614739334"/>
          <c:h val="0.436970483097965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26817793308976"/>
          <c:y val="4.878878352386698E-2"/>
          <c:w val="0.82481563003471814"/>
          <c:h val="0.76523985582352305"/>
        </c:manualLayout>
      </c:layout>
      <c:scatterChart>
        <c:scatterStyle val="lineMarker"/>
        <c:varyColors val="0"/>
        <c:ser>
          <c:idx val="1"/>
          <c:order val="0"/>
          <c:tx>
            <c:v>Cellulose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noFill/>
              <a:ln w="19050">
                <a:solidFill>
                  <a:srgbClr val="C00000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5875" cap="rnd">
                <a:solidFill>
                  <a:srgbClr val="C00000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errBars>
            <c:errDir val="y"/>
            <c:errBarType val="both"/>
            <c:errValType val="cust"/>
            <c:noEndCap val="0"/>
            <c:plus>
              <c:numRef>
                <c:f>'ActivaEnergy ofXylan &amp;Cellulol '!$O$4:$O$9</c:f>
                <c:numCache>
                  <c:formatCode>General</c:formatCode>
                  <c:ptCount val="6"/>
                  <c:pt idx="0">
                    <c:v>1.0509670872165644</c:v>
                  </c:pt>
                  <c:pt idx="1">
                    <c:v>0.75761111226099731</c:v>
                  </c:pt>
                  <c:pt idx="2">
                    <c:v>0.95714146402555134</c:v>
                  </c:pt>
                  <c:pt idx="3">
                    <c:v>1.1036919737215531</c:v>
                  </c:pt>
                  <c:pt idx="4">
                    <c:v>4.0450834674674239</c:v>
                  </c:pt>
                  <c:pt idx="5">
                    <c:v>1.788632931585431</c:v>
                  </c:pt>
                </c:numCache>
              </c:numRef>
            </c:plus>
            <c:minus>
              <c:numRef>
                <c:f>'ActivaEnergy ofXylan &amp;Cellulol '!$O$4:$O$9</c:f>
                <c:numCache>
                  <c:formatCode>General</c:formatCode>
                  <c:ptCount val="6"/>
                  <c:pt idx="0">
                    <c:v>1.0509670872165644</c:v>
                  </c:pt>
                  <c:pt idx="1">
                    <c:v>0.75761111226099731</c:v>
                  </c:pt>
                  <c:pt idx="2">
                    <c:v>0.95714146402555134</c:v>
                  </c:pt>
                  <c:pt idx="3">
                    <c:v>1.1036919737215531</c:v>
                  </c:pt>
                  <c:pt idx="4">
                    <c:v>4.0450834674674239</c:v>
                  </c:pt>
                  <c:pt idx="5">
                    <c:v>1.788632931585431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'ActivaEnergy ofXylan &amp;Cellulol '!$A$4:$A$9</c:f>
              <c:numCache>
                <c:formatCode>0%</c:formatCode>
                <c:ptCount val="6"/>
                <c:pt idx="0" formatCode="General">
                  <c:v>0</c:v>
                </c:pt>
                <c:pt idx="1">
                  <c:v>0.01</c:v>
                </c:pt>
                <c:pt idx="2">
                  <c:v>0.03</c:v>
                </c:pt>
                <c:pt idx="3">
                  <c:v>0.05</c:v>
                </c:pt>
                <c:pt idx="4">
                  <c:v>0.1</c:v>
                </c:pt>
                <c:pt idx="5">
                  <c:v>0.15</c:v>
                </c:pt>
              </c:numCache>
            </c:numRef>
          </c:xVal>
          <c:yVal>
            <c:numRef>
              <c:f>'ActivaEnergy ofXylan &amp;Cellulol '!$C$4:$C$9</c:f>
              <c:numCache>
                <c:formatCode>General</c:formatCode>
                <c:ptCount val="6"/>
                <c:pt idx="0">
                  <c:v>40.6478473717006</c:v>
                </c:pt>
                <c:pt idx="1">
                  <c:v>40.197527266091306</c:v>
                </c:pt>
                <c:pt idx="2">
                  <c:v>40.093402651375499</c:v>
                </c:pt>
                <c:pt idx="3">
                  <c:v>39.854793631199897</c:v>
                </c:pt>
                <c:pt idx="4">
                  <c:v>44.603468001809105</c:v>
                </c:pt>
                <c:pt idx="5">
                  <c:v>51.333946500583501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A86-4DEA-85D4-76187F91C0EB}"/>
            </c:ext>
          </c:extLst>
        </c:ser>
        <c:ser>
          <c:idx val="0"/>
          <c:order val="1"/>
          <c:tx>
            <c:v>Xylan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0"/>
            <c:spPr>
              <a:noFill/>
              <a:ln w="19050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errBars>
            <c:errDir val="y"/>
            <c:errBarType val="both"/>
            <c:errValType val="cust"/>
            <c:noEndCap val="0"/>
            <c:plus>
              <c:numRef>
                <c:f>'ActivaEnergy ofXylan &amp;Cellulol '!$M$4:$M$9</c:f>
                <c:numCache>
                  <c:formatCode>General</c:formatCode>
                  <c:ptCount val="6"/>
                  <c:pt idx="0">
                    <c:v>1.0083213473263035</c:v>
                  </c:pt>
                  <c:pt idx="1">
                    <c:v>1.762364836652097</c:v>
                  </c:pt>
                  <c:pt idx="2">
                    <c:v>2.0178443965771184</c:v>
                  </c:pt>
                  <c:pt idx="3">
                    <c:v>1.1265968122448755</c:v>
                  </c:pt>
                  <c:pt idx="4">
                    <c:v>1.6081611082726175</c:v>
                  </c:pt>
                  <c:pt idx="5">
                    <c:v>2.3475985374653838</c:v>
                  </c:pt>
                </c:numCache>
              </c:numRef>
            </c:plus>
            <c:minus>
              <c:numRef>
                <c:f>'ActivaEnergy ofXylan &amp;Cellulol '!$M$4:$M$9</c:f>
                <c:numCache>
                  <c:formatCode>General</c:formatCode>
                  <c:ptCount val="6"/>
                  <c:pt idx="0">
                    <c:v>1.0083213473263035</c:v>
                  </c:pt>
                  <c:pt idx="1">
                    <c:v>1.762364836652097</c:v>
                  </c:pt>
                  <c:pt idx="2">
                    <c:v>2.0178443965771184</c:v>
                  </c:pt>
                  <c:pt idx="3">
                    <c:v>1.1265968122448755</c:v>
                  </c:pt>
                  <c:pt idx="4">
                    <c:v>1.6081611082726175</c:v>
                  </c:pt>
                  <c:pt idx="5">
                    <c:v>2.3475985374653838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'ActivaEnergy ofXylan &amp;Cellulol '!$A$4:$A$9</c:f>
              <c:numCache>
                <c:formatCode>0%</c:formatCode>
                <c:ptCount val="6"/>
                <c:pt idx="0" formatCode="General">
                  <c:v>0</c:v>
                </c:pt>
                <c:pt idx="1">
                  <c:v>0.01</c:v>
                </c:pt>
                <c:pt idx="2">
                  <c:v>0.03</c:v>
                </c:pt>
                <c:pt idx="3">
                  <c:v>0.05</c:v>
                </c:pt>
                <c:pt idx="4">
                  <c:v>0.1</c:v>
                </c:pt>
                <c:pt idx="5">
                  <c:v>0.15</c:v>
                </c:pt>
              </c:numCache>
            </c:numRef>
          </c:xVal>
          <c:yVal>
            <c:numRef>
              <c:f>'ActivaEnergy ofXylan &amp;Cellulol '!$B$4:$B$9</c:f>
              <c:numCache>
                <c:formatCode>General</c:formatCode>
                <c:ptCount val="6"/>
                <c:pt idx="0">
                  <c:v>40.6478473717006</c:v>
                </c:pt>
                <c:pt idx="1">
                  <c:v>41.071056691476798</c:v>
                </c:pt>
                <c:pt idx="2">
                  <c:v>39.445036694416203</c:v>
                </c:pt>
                <c:pt idx="3">
                  <c:v>43.040197524419007</c:v>
                </c:pt>
                <c:pt idx="4">
                  <c:v>45.079334038504697</c:v>
                </c:pt>
                <c:pt idx="5">
                  <c:v>49.360159867761197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A86-4DEA-85D4-76187F91C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394064"/>
        <c:axId val="304913896"/>
      </c:scatterChart>
      <c:valAx>
        <c:axId val="304394064"/>
        <c:scaling>
          <c:orientation val="minMax"/>
          <c:max val="0.18000000000000002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mbria" panose="02040503050406030204" pitchFamily="18" charset="0"/>
                    <a:ea typeface="+mn-ea"/>
                    <a:cs typeface="+mn-cs"/>
                  </a:defRPr>
                </a:pPr>
                <a:r>
                  <a:rPr lang="en-GB" sz="1400" baseline="0">
                    <a:latin typeface="Cambria" panose="02040503050406030204" pitchFamily="18" charset="0"/>
                  </a:rPr>
                  <a:t>Carboyhdrates weight fraction (wt%)  </a:t>
                </a:r>
                <a:endParaRPr lang="en-GB" sz="1400">
                  <a:latin typeface="Cambria" panose="02040503050406030204" pitchFamily="18" charset="0"/>
                </a:endParaRPr>
              </a:p>
            </c:rich>
          </c:tx>
          <c:layout>
            <c:manualLayout>
              <c:xMode val="edge"/>
              <c:yMode val="edge"/>
              <c:x val="0.31098753917896188"/>
              <c:y val="0.91429136488199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mbria" panose="020405030504060302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+mn-ea"/>
                <a:cs typeface="+mn-cs"/>
              </a:defRPr>
            </a:pPr>
            <a:endParaRPr lang="en-US"/>
          </a:p>
        </c:txPr>
        <c:crossAx val="304913896"/>
        <c:crosses val="autoZero"/>
        <c:crossBetween val="midCat"/>
        <c:majorUnit val="5.000000000000001E-2"/>
      </c:valAx>
      <c:valAx>
        <c:axId val="304913896"/>
        <c:scaling>
          <c:orientation val="minMax"/>
          <c:max val="60"/>
          <c:min val="3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mbria" panose="02040503050406030204" pitchFamily="18" charset="0"/>
                    <a:ea typeface="+mn-ea"/>
                    <a:cs typeface="+mn-cs"/>
                  </a:defRPr>
                </a:pPr>
                <a:r>
                  <a:rPr lang="en-GB" sz="1400" i="1">
                    <a:latin typeface="Cambria" panose="02040503050406030204" pitchFamily="18" charset="0"/>
                  </a:rPr>
                  <a:t>E</a:t>
                </a:r>
                <a:r>
                  <a:rPr lang="en-GB" sz="1000" i="1">
                    <a:latin typeface="Cambria" panose="02040503050406030204" pitchFamily="18" charset="0"/>
                  </a:rPr>
                  <a:t>A</a:t>
                </a:r>
                <a:r>
                  <a:rPr lang="en-GB" sz="1400">
                    <a:latin typeface="Cambria" panose="02040503050406030204" pitchFamily="18" charset="0"/>
                  </a:rPr>
                  <a:t> </a:t>
                </a:r>
                <a:r>
                  <a:rPr lang="en-GB" sz="1400" baseline="0">
                    <a:latin typeface="Cambria" panose="02040503050406030204" pitchFamily="18" charset="0"/>
                  </a:rPr>
                  <a:t> cation (KJ/mol) </a:t>
                </a:r>
                <a:endParaRPr lang="en-GB" sz="1400">
                  <a:latin typeface="Cambria" panose="02040503050406030204" pitchFamily="18" charset="0"/>
                </a:endParaRPr>
              </a:p>
            </c:rich>
          </c:tx>
          <c:layout>
            <c:manualLayout>
              <c:xMode val="edge"/>
              <c:yMode val="edge"/>
              <c:x val="1.5329714853604466E-2"/>
              <c:y val="0.284052619675045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mbria" panose="020405030504060302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+mn-ea"/>
                <a:cs typeface="+mn-cs"/>
              </a:defRPr>
            </a:pPr>
            <a:endParaRPr lang="en-US"/>
          </a:p>
        </c:txPr>
        <c:crossAx val="304394064"/>
        <c:crosses val="autoZero"/>
        <c:crossBetween val="midCat"/>
        <c:majorUnit val="10"/>
      </c:valAx>
      <c:spPr>
        <a:noFill/>
        <a:ln w="15875">
          <a:solidFill>
            <a:schemeClr val="tx1"/>
          </a:solidFill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83866478098004738"/>
          <c:y val="0.16092762953728981"/>
          <c:w val="0.13048115587493311"/>
          <c:h val="0.102247960487904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96537138913769"/>
          <c:y val="2.9870286472239927E-2"/>
          <c:w val="0.80378092324870032"/>
          <c:h val="0.80011495018127132"/>
        </c:manualLayout>
      </c:layout>
      <c:scatterChart>
        <c:scatterStyle val="lineMarker"/>
        <c:varyColors val="0"/>
        <c:ser>
          <c:idx val="1"/>
          <c:order val="0"/>
          <c:tx>
            <c:v>Cellulose 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0"/>
            <c:spPr>
              <a:noFill/>
              <a:ln w="19050">
                <a:solidFill>
                  <a:srgbClr val="C0000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errBars>
            <c:errDir val="y"/>
            <c:errBarType val="both"/>
            <c:errValType val="cust"/>
            <c:noEndCap val="0"/>
            <c:plus>
              <c:numRef>
                <c:f>'ActivaEnergy ofXylan &amp;Cellulol '!$P$4:$P$9</c:f>
                <c:numCache>
                  <c:formatCode>General</c:formatCode>
                  <c:ptCount val="6"/>
                  <c:pt idx="0">
                    <c:v>0.93995067075844752</c:v>
                  </c:pt>
                  <c:pt idx="1">
                    <c:v>0.6958084901002719</c:v>
                  </c:pt>
                  <c:pt idx="2">
                    <c:v>1.1442674688400774</c:v>
                  </c:pt>
                  <c:pt idx="3">
                    <c:v>0.99258972750347463</c:v>
                  </c:pt>
                  <c:pt idx="4">
                    <c:v>4.3047092590284572</c:v>
                  </c:pt>
                  <c:pt idx="5">
                    <c:v>1.8563970598285571</c:v>
                  </c:pt>
                </c:numCache>
              </c:numRef>
            </c:plus>
            <c:minus>
              <c:numRef>
                <c:f>'ActivaEnergy ofXylan &amp;Cellulol '!$P$4:$P$9</c:f>
                <c:numCache>
                  <c:formatCode>General</c:formatCode>
                  <c:ptCount val="6"/>
                  <c:pt idx="0">
                    <c:v>0.93995067075844752</c:v>
                  </c:pt>
                  <c:pt idx="1">
                    <c:v>0.6958084901002719</c:v>
                  </c:pt>
                  <c:pt idx="2">
                    <c:v>1.1442674688400774</c:v>
                  </c:pt>
                  <c:pt idx="3">
                    <c:v>0.99258972750347463</c:v>
                  </c:pt>
                  <c:pt idx="4">
                    <c:v>4.3047092590284572</c:v>
                  </c:pt>
                  <c:pt idx="5">
                    <c:v>1.8563970598285571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'ActivaEnergy ofXylan &amp;Cellulol '!$A$4:$A$9</c:f>
              <c:numCache>
                <c:formatCode>0%</c:formatCode>
                <c:ptCount val="6"/>
                <c:pt idx="0" formatCode="General">
                  <c:v>0</c:v>
                </c:pt>
                <c:pt idx="1">
                  <c:v>0.01</c:v>
                </c:pt>
                <c:pt idx="2">
                  <c:v>0.03</c:v>
                </c:pt>
                <c:pt idx="3">
                  <c:v>0.05</c:v>
                </c:pt>
                <c:pt idx="4">
                  <c:v>0.1</c:v>
                </c:pt>
                <c:pt idx="5">
                  <c:v>0.15</c:v>
                </c:pt>
              </c:numCache>
            </c:numRef>
          </c:xVal>
          <c:yVal>
            <c:numRef>
              <c:f>'ActivaEnergy ofXylan &amp;Cellulol '!$E$4:$E$9</c:f>
              <c:numCache>
                <c:formatCode>General</c:formatCode>
                <c:ptCount val="6"/>
                <c:pt idx="0">
                  <c:v>42.380433421008</c:v>
                </c:pt>
                <c:pt idx="1">
                  <c:v>41.426315670154203</c:v>
                </c:pt>
                <c:pt idx="2">
                  <c:v>40.909439207070605</c:v>
                </c:pt>
                <c:pt idx="3">
                  <c:v>40.492473614879302</c:v>
                </c:pt>
                <c:pt idx="4">
                  <c:v>44.813533907772097</c:v>
                </c:pt>
                <c:pt idx="5">
                  <c:v>51.375593605534604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60-4D87-8923-08E8051F336A}"/>
            </c:ext>
          </c:extLst>
        </c:ser>
        <c:ser>
          <c:idx val="0"/>
          <c:order val="1"/>
          <c:tx>
            <c:v>Xylan 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10"/>
            <c:spPr>
              <a:noFill/>
              <a:ln w="19050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errBars>
            <c:errDir val="y"/>
            <c:errBarType val="both"/>
            <c:errValType val="cust"/>
            <c:noEndCap val="0"/>
            <c:plus>
              <c:numRef>
                <c:f>'ActivaEnergy ofXylan &amp;Cellulol '!$N$4:$N$9</c:f>
                <c:numCache>
                  <c:formatCode>General</c:formatCode>
                  <c:ptCount val="6"/>
                  <c:pt idx="0">
                    <c:v>0.88388744109762951</c:v>
                  </c:pt>
                  <c:pt idx="1">
                    <c:v>1.6571142165535033</c:v>
                  </c:pt>
                  <c:pt idx="2">
                    <c:v>1.827145745734206</c:v>
                  </c:pt>
                  <c:pt idx="3">
                    <c:v>1.0263430421934363</c:v>
                  </c:pt>
                  <c:pt idx="4">
                    <c:v>1.5621196089018827</c:v>
                  </c:pt>
                  <c:pt idx="5">
                    <c:v>2.1051932210119215</c:v>
                  </c:pt>
                </c:numCache>
              </c:numRef>
            </c:plus>
            <c:minus>
              <c:numRef>
                <c:f>'ActivaEnergy ofXylan &amp;Cellulol '!$N$4:$N$9</c:f>
                <c:numCache>
                  <c:formatCode>General</c:formatCode>
                  <c:ptCount val="6"/>
                  <c:pt idx="0">
                    <c:v>0.88388744109762951</c:v>
                  </c:pt>
                  <c:pt idx="1">
                    <c:v>1.6571142165535033</c:v>
                  </c:pt>
                  <c:pt idx="2">
                    <c:v>1.827145745734206</c:v>
                  </c:pt>
                  <c:pt idx="3">
                    <c:v>1.0263430421934363</c:v>
                  </c:pt>
                  <c:pt idx="4">
                    <c:v>1.5621196089018827</c:v>
                  </c:pt>
                  <c:pt idx="5">
                    <c:v>2.1051932210119215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'ActivaEnergy ofXylan &amp;Cellulol '!$A$4:$A$9</c:f>
              <c:numCache>
                <c:formatCode>0%</c:formatCode>
                <c:ptCount val="6"/>
                <c:pt idx="0" formatCode="General">
                  <c:v>0</c:v>
                </c:pt>
                <c:pt idx="1">
                  <c:v>0.01</c:v>
                </c:pt>
                <c:pt idx="2">
                  <c:v>0.03</c:v>
                </c:pt>
                <c:pt idx="3">
                  <c:v>0.05</c:v>
                </c:pt>
                <c:pt idx="4">
                  <c:v>0.1</c:v>
                </c:pt>
                <c:pt idx="5">
                  <c:v>0.15</c:v>
                </c:pt>
              </c:numCache>
            </c:numRef>
          </c:xVal>
          <c:yVal>
            <c:numRef>
              <c:f>'ActivaEnergy ofXylan &amp;Cellulol '!$D$4:$D$9</c:f>
              <c:numCache>
                <c:formatCode>General</c:formatCode>
                <c:ptCount val="6"/>
                <c:pt idx="0">
                  <c:v>42.3669992380268</c:v>
                </c:pt>
                <c:pt idx="1">
                  <c:v>42.538475061777795</c:v>
                </c:pt>
                <c:pt idx="2">
                  <c:v>40.994536675333698</c:v>
                </c:pt>
                <c:pt idx="3">
                  <c:v>44.206644022953796</c:v>
                </c:pt>
                <c:pt idx="4">
                  <c:v>45.691711698605403</c:v>
                </c:pt>
                <c:pt idx="5">
                  <c:v>48.922515318801501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960-4D87-8923-08E8051F3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914680"/>
        <c:axId val="304915072"/>
      </c:scatterChart>
      <c:valAx>
        <c:axId val="304914680"/>
        <c:scaling>
          <c:orientation val="minMax"/>
          <c:max val="0.18000000000000002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mbria" panose="02040503050406030204" pitchFamily="18" charset="0"/>
                    <a:ea typeface="+mn-ea"/>
                    <a:cs typeface="+mn-cs"/>
                  </a:defRPr>
                </a:pPr>
                <a:r>
                  <a:rPr lang="en-GB" sz="1400" baseline="0">
                    <a:latin typeface="Cambria" panose="02040503050406030204" pitchFamily="18" charset="0"/>
                  </a:rPr>
                  <a:t>Carboyhdrates weight fraction (wt%) </a:t>
                </a:r>
                <a:endParaRPr lang="en-GB" sz="1400">
                  <a:latin typeface="Cambria" panose="020405030504060302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mbria" panose="020405030504060302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+mn-ea"/>
                <a:cs typeface="+mn-cs"/>
              </a:defRPr>
            </a:pPr>
            <a:endParaRPr lang="en-US"/>
          </a:p>
        </c:txPr>
        <c:crossAx val="304915072"/>
        <c:crosses val="autoZero"/>
        <c:crossBetween val="midCat"/>
      </c:valAx>
      <c:valAx>
        <c:axId val="304915072"/>
        <c:scaling>
          <c:orientation val="minMax"/>
          <c:max val="60"/>
          <c:min val="3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mbria" panose="02040503050406030204" pitchFamily="18" charset="0"/>
                    <a:ea typeface="+mn-ea"/>
                    <a:cs typeface="+mn-cs"/>
                  </a:defRPr>
                </a:pPr>
                <a:r>
                  <a:rPr lang="en-GB" sz="1400" i="1">
                    <a:latin typeface="Cambria" panose="02040503050406030204" pitchFamily="18" charset="0"/>
                  </a:rPr>
                  <a:t>E</a:t>
                </a:r>
                <a:r>
                  <a:rPr lang="en-GB" sz="1000" i="1">
                    <a:latin typeface="Cambria" panose="02040503050406030204" pitchFamily="18" charset="0"/>
                  </a:rPr>
                  <a:t>A</a:t>
                </a:r>
                <a:r>
                  <a:rPr lang="en-GB" sz="1400" baseline="0">
                    <a:latin typeface="Cambria" panose="02040503050406030204" pitchFamily="18" charset="0"/>
                  </a:rPr>
                  <a:t> anion (KJ/mol)</a:t>
                </a:r>
                <a:endParaRPr lang="en-GB" sz="1400">
                  <a:latin typeface="Cambria" panose="02040503050406030204" pitchFamily="18" charset="0"/>
                </a:endParaRPr>
              </a:p>
            </c:rich>
          </c:tx>
          <c:layout>
            <c:manualLayout>
              <c:xMode val="edge"/>
              <c:yMode val="edge"/>
              <c:x val="3.4541542548145336E-2"/>
              <c:y val="0.31462054058658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mbria" panose="020405030504060302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+mn-ea"/>
                <a:cs typeface="+mn-cs"/>
              </a:defRPr>
            </a:pPr>
            <a:endParaRPr lang="en-US"/>
          </a:p>
        </c:txPr>
        <c:crossAx val="304914680"/>
        <c:crosses val="autoZero"/>
        <c:crossBetween val="midCat"/>
        <c:majorUnit val="10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78683631534010057"/>
          <c:y val="5.8143989607789888E-2"/>
          <c:w val="0.13921957687342257"/>
          <c:h val="0.11825909185286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32093682640804"/>
          <c:y val="5.3115324287667791E-2"/>
          <c:w val="0.79389423366271306"/>
          <c:h val="0.74920419810799799"/>
        </c:manualLayout>
      </c:layout>
      <c:scatterChart>
        <c:scatterStyle val="smoothMarker"/>
        <c:varyColors val="0"/>
        <c:ser>
          <c:idx val="1"/>
          <c:order val="1"/>
          <c:tx>
            <c:v>[C2mim] [OAc]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'RH vs CON,%'!$B$7:$B$12</c:f>
              <c:numCache>
                <c:formatCode>General</c:formatCode>
                <c:ptCount val="6"/>
                <c:pt idx="0">
                  <c:v>0</c:v>
                </c:pt>
                <c:pt idx="1">
                  <c:v>0.01</c:v>
                </c:pt>
                <c:pt idx="2">
                  <c:v>0.03</c:v>
                </c:pt>
                <c:pt idx="3">
                  <c:v>0.05</c:v>
                </c:pt>
                <c:pt idx="4">
                  <c:v>0.1</c:v>
                </c:pt>
                <c:pt idx="5">
                  <c:v>0.15</c:v>
                </c:pt>
              </c:numCache>
            </c:numRef>
          </c:xVal>
          <c:yVal>
            <c:numRef>
              <c:f>'RH vs CON,%'!$F$7:$F$12</c:f>
              <c:numCache>
                <c:formatCode>General</c:formatCode>
                <c:ptCount val="6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915856"/>
        <c:axId val="304916248"/>
      </c:scatterChart>
      <c:scatterChart>
        <c:scatterStyle val="lineMarker"/>
        <c:varyColors val="0"/>
        <c:ser>
          <c:idx val="0"/>
          <c:order val="0"/>
          <c:tx>
            <c:v>Xylan 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0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x"/>
            <c:errBarType val="both"/>
            <c:errValType val="percentage"/>
            <c:noEndCap val="0"/>
            <c:val val="2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'RH vs CON,%'!$B$8:$B$12</c:f>
              <c:numCache>
                <c:formatCode>General</c:formatCode>
                <c:ptCount val="5"/>
                <c:pt idx="0">
                  <c:v>0.01</c:v>
                </c:pt>
                <c:pt idx="1">
                  <c:v>0.03</c:v>
                </c:pt>
                <c:pt idx="2">
                  <c:v>0.05</c:v>
                </c:pt>
                <c:pt idx="3">
                  <c:v>0.1</c:v>
                </c:pt>
                <c:pt idx="4">
                  <c:v>0.15</c:v>
                </c:pt>
              </c:numCache>
            </c:numRef>
          </c:xVal>
          <c:yVal>
            <c:numRef>
              <c:f>'RH vs CON,%'!$D$8:$D$12</c:f>
              <c:numCache>
                <c:formatCode>General</c:formatCode>
                <c:ptCount val="5"/>
                <c:pt idx="0">
                  <c:v>2.9569999999999999</c:v>
                </c:pt>
                <c:pt idx="1">
                  <c:v>3.1190000000000002</c:v>
                </c:pt>
                <c:pt idx="2">
                  <c:v>2.9470000000000001</c:v>
                </c:pt>
                <c:pt idx="3">
                  <c:v>2.2200000000000002</c:v>
                </c:pt>
                <c:pt idx="4">
                  <c:v>2.0122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ACA-4C5B-B1AA-EEB042B8F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915856"/>
        <c:axId val="304916248"/>
      </c:scatterChart>
      <c:valAx>
        <c:axId val="304915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fornian FB" panose="0207040306080B030204" pitchFamily="18" charset="0"/>
                    <a:ea typeface="+mn-ea"/>
                    <a:cs typeface="+mn-cs"/>
                  </a:defRPr>
                </a:pPr>
                <a:r>
                  <a:rPr lang="en-GB" sz="1200" baseline="0">
                    <a:latin typeface="Californian FB" panose="0207040306080B030204" pitchFamily="18" charset="0"/>
                  </a:rPr>
                  <a:t>wt % of xylan</a:t>
                </a:r>
                <a:endParaRPr lang="en-GB" sz="1200">
                  <a:latin typeface="Californian FB" panose="0207040306080B030204" pitchFamily="18" charset="0"/>
                </a:endParaRPr>
              </a:p>
            </c:rich>
          </c:tx>
          <c:layout>
            <c:manualLayout>
              <c:xMode val="edge"/>
              <c:yMode val="edge"/>
              <c:x val="0.42523449637890326"/>
              <c:y val="0.916925710876397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fornian FB" panose="0207040306080B0302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04916248"/>
        <c:crossesAt val="1.0000000000000006E-10"/>
        <c:crossBetween val="midCat"/>
      </c:valAx>
      <c:valAx>
        <c:axId val="304916248"/>
        <c:scaling>
          <c:orientation val="minMax"/>
          <c:max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fornian FB" panose="0207040306080B030204" pitchFamily="18" charset="0"/>
                    <a:ea typeface="+mn-ea"/>
                    <a:cs typeface="+mn-cs"/>
                  </a:defRPr>
                </a:pPr>
                <a:r>
                  <a:rPr lang="en-GB" sz="1400" i="1">
                    <a:latin typeface="Californian FB" panose="0207040306080B030204" pitchFamily="18" charset="0"/>
                  </a:rPr>
                  <a:t>R</a:t>
                </a:r>
                <a:r>
                  <a:rPr lang="en-GB" sz="1000" i="1" baseline="-25000">
                    <a:latin typeface="Californian FB" panose="0207040306080B030204" pitchFamily="18" charset="0"/>
                  </a:rPr>
                  <a:t>H,i  </a:t>
                </a:r>
                <a:r>
                  <a:rPr lang="en-GB" sz="1400">
                    <a:latin typeface="Californian FB" panose="0207040306080B030204" pitchFamily="18" charset="0"/>
                  </a:rPr>
                  <a:t>/ </a:t>
                </a:r>
                <a:r>
                  <a:rPr lang="en-GB" sz="1400">
                    <a:latin typeface="Californian FB" panose="0207040306080B030204" pitchFamily="18" charset="0"/>
                    <a:cs typeface="Times New Roman" panose="02020603050405020304" pitchFamily="18" charset="0"/>
                  </a:rPr>
                  <a:t>Å</a:t>
                </a:r>
                <a:endParaRPr lang="en-GB" sz="1400">
                  <a:latin typeface="Californian FB" panose="0207040306080B030204" pitchFamily="18" charset="0"/>
                </a:endParaRPr>
              </a:p>
            </c:rich>
          </c:tx>
          <c:layout>
            <c:manualLayout>
              <c:xMode val="edge"/>
              <c:yMode val="edge"/>
              <c:x val="1.1267605633802818E-2"/>
              <c:y val="0.275099444895777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fornian FB" panose="0207040306080B0302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04915856"/>
        <c:crosses val="autoZero"/>
        <c:crossBetween val="midCat"/>
        <c:majorUnit val="1"/>
      </c:valAx>
      <c:spPr>
        <a:noFill/>
        <a:ln w="952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1499322367878451"/>
          <c:y val="7.7778900117085756E-2"/>
          <c:w val="0.29992532623562895"/>
          <c:h val="0.175208869747108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54674328012669"/>
          <c:y val="3.3357967477567883E-2"/>
          <c:w val="0.80873071031296684"/>
          <c:h val="0.80048628536817512"/>
        </c:manualLayout>
      </c:layout>
      <c:scatterChart>
        <c:scatterStyle val="lineMarker"/>
        <c:varyColors val="0"/>
        <c:ser>
          <c:idx val="6"/>
          <c:order val="0"/>
          <c:tx>
            <c:v>7,X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10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'PPM of xylan at 40c'!$C$12:$H$12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</c:numCache>
            </c:numRef>
          </c:xVal>
          <c:yVal>
            <c:numRef>
              <c:f>'PPM of xylan at 40c'!$C$19:$H$19</c:f>
              <c:numCache>
                <c:formatCode>General</c:formatCode>
                <c:ptCount val="6"/>
                <c:pt idx="0">
                  <c:v>0</c:v>
                </c:pt>
                <c:pt idx="1">
                  <c:v>2.3999999999999799E-2</c:v>
                </c:pt>
                <c:pt idx="2">
                  <c:v>3.0000000000000027E-2</c:v>
                </c:pt>
                <c:pt idx="3">
                  <c:v>2.7999999999999803E-2</c:v>
                </c:pt>
                <c:pt idx="4">
                  <c:v>4.2000000000000037E-2</c:v>
                </c:pt>
                <c:pt idx="5">
                  <c:v>5.600000000000005E-2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FEA8-4062-A736-7201B07160B8}"/>
            </c:ext>
          </c:extLst>
        </c:ser>
        <c:ser>
          <c:idx val="5"/>
          <c:order val="1"/>
          <c:tx>
            <c:v>6,X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accent2">
                    <a:lumMod val="75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'PPM of xylan at 40c'!$C$12:$H$12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</c:numCache>
            </c:numRef>
          </c:xVal>
          <c:yVal>
            <c:numRef>
              <c:f>'PPM of xylan at 40c'!$C$18:$H$18</c:f>
              <c:numCache>
                <c:formatCode>General</c:formatCode>
                <c:ptCount val="6"/>
                <c:pt idx="0">
                  <c:v>0</c:v>
                </c:pt>
                <c:pt idx="1">
                  <c:v>1.9999999999999796E-2</c:v>
                </c:pt>
                <c:pt idx="2">
                  <c:v>2.9999999999999805E-2</c:v>
                </c:pt>
                <c:pt idx="3">
                  <c:v>3.4999999999999698E-2</c:v>
                </c:pt>
                <c:pt idx="4">
                  <c:v>5.699999999999994E-2</c:v>
                </c:pt>
                <c:pt idx="5">
                  <c:v>8.0999999999999961E-2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FEA8-4062-A736-7201B07160B8}"/>
            </c:ext>
          </c:extLst>
        </c:ser>
        <c:ser>
          <c:idx val="3"/>
          <c:order val="2"/>
          <c:tx>
            <c:v>6,C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'PPM of xylan at 40c'!$A$25:$A$30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</c:numCache>
            </c:numRef>
          </c:xVal>
          <c:yVal>
            <c:numRef>
              <c:f>'PPM of xylan at 40c'!$G$25:$G$30</c:f>
              <c:numCache>
                <c:formatCode>General</c:formatCode>
                <c:ptCount val="6"/>
                <c:pt idx="0">
                  <c:v>0</c:v>
                </c:pt>
                <c:pt idx="1">
                  <c:v>4.5999999999999375E-3</c:v>
                </c:pt>
                <c:pt idx="2">
                  <c:v>1.1599999999999611E-2</c:v>
                </c:pt>
                <c:pt idx="3">
                  <c:v>1.9600000000000506E-2</c:v>
                </c:pt>
                <c:pt idx="4">
                  <c:v>4.3600000000000527E-2</c:v>
                </c:pt>
                <c:pt idx="5">
                  <c:v>6.6600000000000215E-2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D29-4F98-B284-82DAC6CFB689}"/>
            </c:ext>
          </c:extLst>
        </c:ser>
        <c:ser>
          <c:idx val="4"/>
          <c:order val="3"/>
          <c:tx>
            <c:v>4,X</c:v>
          </c:tx>
          <c:spPr>
            <a:ln w="25400" cap="rnd">
              <a:noFill/>
              <a:round/>
            </a:ln>
            <a:effectLst/>
          </c:spPr>
          <c:marker>
            <c:symbol val="plus"/>
            <c:size val="7"/>
            <c:spPr>
              <a:noFill/>
              <a:ln w="9525">
                <a:solidFill>
                  <a:srgbClr val="8E0C72"/>
                </a:solidFill>
              </a:ln>
              <a:effectLst/>
            </c:spPr>
          </c:marker>
          <c:xVal>
            <c:numRef>
              <c:f>'PPM of xylan at 40c'!$C$12:$H$12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</c:numCache>
            </c:numRef>
          </c:xVal>
          <c:yVal>
            <c:numRef>
              <c:f>'PPM of xylan at 40c'!$C$16:$H$16</c:f>
              <c:numCache>
                <c:formatCode>General</c:formatCode>
                <c:ptCount val="6"/>
                <c:pt idx="0">
                  <c:v>0</c:v>
                </c:pt>
                <c:pt idx="1">
                  <c:v>2.0000000000000462E-2</c:v>
                </c:pt>
                <c:pt idx="2">
                  <c:v>1.1000000000000121E-2</c:v>
                </c:pt>
                <c:pt idx="3">
                  <c:v>1.1000000000000121E-2</c:v>
                </c:pt>
                <c:pt idx="4">
                  <c:v>2.3000000000000576E-2</c:v>
                </c:pt>
                <c:pt idx="5">
                  <c:v>2.6000000000000689E-2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798-4406-9412-EDD2E7845E8A}"/>
            </c:ext>
          </c:extLst>
        </c:ser>
        <c:ser>
          <c:idx val="10"/>
          <c:order val="4"/>
          <c:tx>
            <c:v>3,X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xVal>
            <c:numRef>
              <c:f>'PPM of xylan at 40c'!$C$12:$H$12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</c:numCache>
            </c:numRef>
          </c:xVal>
          <c:yVal>
            <c:numRef>
              <c:f>'PPM of xylan at 40c'!$C$15:$H$15</c:f>
              <c:numCache>
                <c:formatCode>General</c:formatCode>
                <c:ptCount val="6"/>
                <c:pt idx="0">
                  <c:v>0</c:v>
                </c:pt>
                <c:pt idx="1">
                  <c:v>-3.5899999999998045E-2</c:v>
                </c:pt>
                <c:pt idx="2">
                  <c:v>-5.2899999999999281E-2</c:v>
                </c:pt>
                <c:pt idx="3">
                  <c:v>-6.7899999999998073E-2</c:v>
                </c:pt>
                <c:pt idx="4">
                  <c:v>-0.11889999999999823</c:v>
                </c:pt>
                <c:pt idx="5">
                  <c:v>-0.18290000000000006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E798-4406-9412-EDD2E7845E8A}"/>
            </c:ext>
          </c:extLst>
        </c:ser>
        <c:ser>
          <c:idx val="9"/>
          <c:order val="5"/>
          <c:tx>
            <c:v>1,X</c:v>
          </c:tx>
          <c:spPr>
            <a:ln w="25400" cap="rnd">
              <a:noFill/>
              <a:round/>
            </a:ln>
            <a:effectLst/>
          </c:spPr>
          <c:marker>
            <c:symbol val="x"/>
            <c:size val="10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trendline>
            <c:spPr>
              <a:ln w="12700" cap="rnd">
                <a:solidFill>
                  <a:srgbClr val="00206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'PPM of xylan at 40c'!$C$12:$H$12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</c:numCache>
            </c:numRef>
          </c:xVal>
          <c:yVal>
            <c:numRef>
              <c:f>'PPM of xylan at 40c'!$C$14:$H$14</c:f>
              <c:numCache>
                <c:formatCode>General</c:formatCode>
                <c:ptCount val="6"/>
                <c:pt idx="0">
                  <c:v>0</c:v>
                </c:pt>
                <c:pt idx="1">
                  <c:v>-4.3200000000000571E-2</c:v>
                </c:pt>
                <c:pt idx="2">
                  <c:v>-6.2199999999998923E-2</c:v>
                </c:pt>
                <c:pt idx="3">
                  <c:v>-7.9199999999998383E-2</c:v>
                </c:pt>
                <c:pt idx="4">
                  <c:v>-0.13619999999999877</c:v>
                </c:pt>
                <c:pt idx="5">
                  <c:v>-0.2212000000000014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E798-4406-9412-EDD2E7845E8A}"/>
            </c:ext>
          </c:extLst>
        </c:ser>
        <c:ser>
          <c:idx val="0"/>
          <c:order val="6"/>
          <c:tx>
            <c:v>2,X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'PPM of xylan at 40c'!$C$12:$H$12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</c:numCache>
            </c:numRef>
          </c:xVal>
          <c:yVal>
            <c:numRef>
              <c:f>'PPM of xylan at 40c'!$C$13:$H$13</c:f>
              <c:numCache>
                <c:formatCode>General</c:formatCode>
                <c:ptCount val="6"/>
                <c:pt idx="0">
                  <c:v>0</c:v>
                </c:pt>
                <c:pt idx="1">
                  <c:v>-4.1800000000000281E-2</c:v>
                </c:pt>
                <c:pt idx="2">
                  <c:v>-7.5800000000000978E-2</c:v>
                </c:pt>
                <c:pt idx="3">
                  <c:v>-0.10980000000000167</c:v>
                </c:pt>
                <c:pt idx="4">
                  <c:v>-0.21780000000000044</c:v>
                </c:pt>
                <c:pt idx="5">
                  <c:v>-0.37380000000000102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A8-4062-A736-7201B07160B8}"/>
            </c:ext>
          </c:extLst>
        </c:ser>
        <c:ser>
          <c:idx val="1"/>
          <c:order val="7"/>
          <c:tx>
            <c:v>2,C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2700" cap="rnd">
                <a:solidFill>
                  <a:srgbClr val="C0000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'PPM of xylan at 40c'!$A$25:$A$30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</c:numCache>
            </c:numRef>
          </c:xVal>
          <c:yVal>
            <c:numRef>
              <c:f>'PPM of xylan at 40c'!$B$25:$B$30</c:f>
              <c:numCache>
                <c:formatCode>General</c:formatCode>
                <c:ptCount val="6"/>
                <c:pt idx="0">
                  <c:v>0</c:v>
                </c:pt>
                <c:pt idx="1">
                  <c:v>-6.4600000000000435E-2</c:v>
                </c:pt>
                <c:pt idx="2">
                  <c:v>-9.7600000000001685E-2</c:v>
                </c:pt>
                <c:pt idx="3">
                  <c:v>-0.11760000000000126</c:v>
                </c:pt>
                <c:pt idx="4">
                  <c:v>-0.25060000000000038</c:v>
                </c:pt>
                <c:pt idx="5">
                  <c:v>-0.38360000000000127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D29-4F98-B284-82DAC6CFB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917032"/>
        <c:axId val="304917424"/>
      </c:scatterChart>
      <c:valAx>
        <c:axId val="304917032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mbria" panose="02040503050406030204" pitchFamily="18" charset="0"/>
                    <a:ea typeface="+mn-ea"/>
                    <a:cs typeface="+mn-cs"/>
                  </a:defRPr>
                </a:pPr>
                <a:r>
                  <a:rPr lang="en-GB" sz="1400" b="0">
                    <a:latin typeface="Cambria" panose="02040503050406030204" pitchFamily="18" charset="0"/>
                  </a:rPr>
                  <a:t>Wt</a:t>
                </a:r>
                <a:r>
                  <a:rPr lang="en-GB" sz="1400" b="0" baseline="0">
                    <a:latin typeface="Cambria" panose="02040503050406030204" pitchFamily="18" charset="0"/>
                  </a:rPr>
                  <a:t> % of xylan   </a:t>
                </a:r>
                <a:endParaRPr lang="en-GB" sz="1400" b="0">
                  <a:latin typeface="Cambria" panose="02040503050406030204" pitchFamily="18" charset="0"/>
                </a:endParaRPr>
              </a:p>
            </c:rich>
          </c:tx>
          <c:layout>
            <c:manualLayout>
              <c:xMode val="edge"/>
              <c:yMode val="edge"/>
              <c:x val="0.35320988984950336"/>
              <c:y val="0.867386688517196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mbria" panose="020405030504060302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+mn-ea"/>
                <a:cs typeface="+mn-cs"/>
              </a:defRPr>
            </a:pPr>
            <a:endParaRPr lang="en-US"/>
          </a:p>
        </c:txPr>
        <c:crossAx val="304917424"/>
        <c:crossesAt val="0"/>
        <c:crossBetween val="midCat"/>
        <c:majorUnit val="5"/>
      </c:valAx>
      <c:valAx>
        <c:axId val="304917424"/>
        <c:scaling>
          <c:orientation val="minMax"/>
          <c:max val="0.2"/>
          <c:min val="-0.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mbria" panose="02040503050406030204" pitchFamily="18" charset="0"/>
                    <a:ea typeface="+mn-ea"/>
                    <a:cs typeface="+mn-cs"/>
                  </a:defRPr>
                </a:pPr>
                <a:r>
                  <a:rPr lang="en-GB" sz="1400" b="0">
                    <a:latin typeface="Cambria" panose="02040503050406030204" pitchFamily="18" charset="0"/>
                    <a:cs typeface="Times New Roman" panose="02020603050405020304" pitchFamily="18" charset="0"/>
                  </a:rPr>
                  <a:t>∆</a:t>
                </a:r>
                <a:r>
                  <a:rPr lang="el-GR" sz="1400" b="0">
                    <a:latin typeface="Cambria" panose="02040503050406030204" pitchFamily="18" charset="0"/>
                    <a:cs typeface="Times New Roman" panose="02020603050405020304" pitchFamily="18" charset="0"/>
                  </a:rPr>
                  <a:t>δ</a:t>
                </a:r>
                <a:r>
                  <a:rPr lang="en-GB" sz="1400" b="0">
                    <a:latin typeface="Cambria" panose="02040503050406030204" pitchFamily="18" charset="0"/>
                    <a:cs typeface="Times New Roman" panose="02020603050405020304" pitchFamily="18" charset="0"/>
                  </a:rPr>
                  <a:t>/ppm</a:t>
                </a:r>
                <a:endParaRPr lang="en-GB" sz="1400" b="0">
                  <a:latin typeface="Cambria" panose="02040503050406030204" pitchFamily="18" charset="0"/>
                </a:endParaRPr>
              </a:p>
            </c:rich>
          </c:tx>
          <c:layout>
            <c:manualLayout>
              <c:xMode val="edge"/>
              <c:yMode val="edge"/>
              <c:x val="6.8330820349583963E-4"/>
              <c:y val="0.259839191570794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mbria" panose="020405030504060302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+mn-ea"/>
                <a:cs typeface="+mn-cs"/>
              </a:defRPr>
            </a:pPr>
            <a:endParaRPr lang="en-US"/>
          </a:p>
        </c:txPr>
        <c:crossAx val="304917032"/>
        <c:crossesAt val="0"/>
        <c:crossBetween val="midCat"/>
        <c:majorUnit val="0.2"/>
      </c:valAx>
      <c:spPr>
        <a:noFill/>
        <a:ln w="15875">
          <a:noFill/>
        </a:ln>
        <a:effectLst/>
      </c:spPr>
    </c:plotArea>
    <c:legend>
      <c:legendPos val="r"/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8518771645753214"/>
          <c:y val="0.5087392817233638"/>
          <c:w val="9.7600139222286525E-2"/>
          <c:h val="0.394092095965205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29532489374757"/>
          <c:y val="7.8963300965471189E-2"/>
          <c:w val="0.80645527353404911"/>
          <c:h val="0.77763738597002863"/>
        </c:manualLayout>
      </c:layout>
      <c:scatterChart>
        <c:scatterStyle val="smoothMarker"/>
        <c:varyColors val="0"/>
        <c:ser>
          <c:idx val="0"/>
          <c:order val="0"/>
          <c:tx>
            <c:v>Peak 2,X</c:v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x"/>
            <c:size val="10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'PPM of xylan at 50c'!$B$5:$F$5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</c:numCache>
            </c:numRef>
          </c:xVal>
          <c:yVal>
            <c:numRef>
              <c:f>'PPM of xylan at 50c'!$B$6:$F$6</c:f>
              <c:numCache>
                <c:formatCode>General</c:formatCode>
                <c:ptCount val="5"/>
                <c:pt idx="0">
                  <c:v>0</c:v>
                </c:pt>
                <c:pt idx="1">
                  <c:v>-3.6000000000001364E-2</c:v>
                </c:pt>
                <c:pt idx="2">
                  <c:v>-7.3000000000000398E-2</c:v>
                </c:pt>
                <c:pt idx="3">
                  <c:v>-0.17500000000000071</c:v>
                </c:pt>
                <c:pt idx="4">
                  <c:v>-0.3160000000000025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51D-4C15-A942-2624E2451370}"/>
            </c:ext>
          </c:extLst>
        </c:ser>
        <c:ser>
          <c:idx val="5"/>
          <c:order val="1"/>
          <c:tx>
            <c:v>Anion, X </c:v>
          </c:tx>
          <c:spPr>
            <a:ln w="19050" cap="rnd">
              <a:solidFill>
                <a:schemeClr val="accent6"/>
              </a:solidFill>
              <a:prstDash val="sysDot"/>
              <a:round/>
            </a:ln>
            <a:effectLst/>
          </c:spPr>
          <c:marker>
            <c:symbol val="star"/>
            <c:size val="10"/>
            <c:spPr>
              <a:noFill/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'PPM of xylan at 50c'!$B$5:$F$5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</c:numCache>
            </c:numRef>
          </c:xVal>
          <c:yVal>
            <c:numRef>
              <c:f>'PPM of xylan at 50c'!$B$11:$F$11</c:f>
              <c:numCache>
                <c:formatCode>General</c:formatCode>
                <c:ptCount val="5"/>
                <c:pt idx="0">
                  <c:v>0</c:v>
                </c:pt>
                <c:pt idx="1">
                  <c:v>6.9999999999996732E-3</c:v>
                </c:pt>
                <c:pt idx="2">
                  <c:v>1.5000000000000124E-2</c:v>
                </c:pt>
                <c:pt idx="3">
                  <c:v>3.6000000000000254E-2</c:v>
                </c:pt>
                <c:pt idx="4">
                  <c:v>6.2999999999999723E-2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51D-4C15-A942-2624E2451370}"/>
            </c:ext>
          </c:extLst>
        </c:ser>
        <c:ser>
          <c:idx val="6"/>
          <c:order val="2"/>
          <c:tx>
            <c:v>Peak 7, X</c:v>
          </c:tx>
          <c:spPr>
            <a:ln w="19050" cap="rnd">
              <a:solidFill>
                <a:schemeClr val="accent1">
                  <a:lumMod val="6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9"/>
            <c:spPr>
              <a:noFill/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'PPM of xylan at 50c'!$B$5:$F$5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</c:numCache>
            </c:numRef>
          </c:xVal>
          <c:yVal>
            <c:numRef>
              <c:f>'PPM of xylan at 50c'!$B$12:$F$12</c:f>
              <c:numCache>
                <c:formatCode>General</c:formatCode>
                <c:ptCount val="5"/>
                <c:pt idx="0">
                  <c:v>0</c:v>
                </c:pt>
                <c:pt idx="1">
                  <c:v>4.9999999999998934E-3</c:v>
                </c:pt>
                <c:pt idx="2">
                  <c:v>3.0000000000003357E-3</c:v>
                </c:pt>
                <c:pt idx="3">
                  <c:v>1.5000000000000346E-2</c:v>
                </c:pt>
                <c:pt idx="4">
                  <c:v>2.8999999999999915E-2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251D-4C15-A942-2624E2451370}"/>
            </c:ext>
          </c:extLst>
        </c:ser>
        <c:ser>
          <c:idx val="1"/>
          <c:order val="3"/>
          <c:tx>
            <c:v>Peak 2,C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diamond"/>
            <c:size val="10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'PPM of xylan at 50c'!$A$18:$A$23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</c:numCache>
            </c:numRef>
          </c:xVal>
          <c:yVal>
            <c:numRef>
              <c:f>'PPM of xylan at 50c'!$B$18:$B$23</c:f>
              <c:numCache>
                <c:formatCode>General</c:formatCode>
                <c:ptCount val="6"/>
                <c:pt idx="0">
                  <c:v>0</c:v>
                </c:pt>
                <c:pt idx="1">
                  <c:v>-5.9999999999998721E-2</c:v>
                </c:pt>
                <c:pt idx="2">
                  <c:v>-9.7999999999998977E-2</c:v>
                </c:pt>
                <c:pt idx="3">
                  <c:v>-0.1379999999999999</c:v>
                </c:pt>
                <c:pt idx="4">
                  <c:v>-0.14400000000000013</c:v>
                </c:pt>
                <c:pt idx="5">
                  <c:v>-0.31200000000000117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251D-4C15-A942-2624E2451370}"/>
            </c:ext>
          </c:extLst>
        </c:ser>
        <c:ser>
          <c:idx val="3"/>
          <c:order val="4"/>
          <c:tx>
            <c:v>Anion,C</c:v>
          </c:tx>
          <c:spPr>
            <a:ln w="1905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triangle"/>
            <c:size val="10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'PPM of xylan at 50c'!$A$18:$A$23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</c:numCache>
            </c:numRef>
          </c:xVal>
          <c:yVal>
            <c:numRef>
              <c:f>'PPM of xylan at 50c'!$G$18:$G$23</c:f>
              <c:numCache>
                <c:formatCode>General</c:formatCode>
                <c:ptCount val="6"/>
                <c:pt idx="0">
                  <c:v>0</c:v>
                </c:pt>
                <c:pt idx="1">
                  <c:v>1.499999999999968E-2</c:v>
                </c:pt>
                <c:pt idx="2">
                  <c:v>2.5000000000000355E-2</c:v>
                </c:pt>
                <c:pt idx="3">
                  <c:v>3.3999999999999586E-2</c:v>
                </c:pt>
                <c:pt idx="4">
                  <c:v>3.1999999999999584E-2</c:v>
                </c:pt>
                <c:pt idx="5">
                  <c:v>6.5999999999999837E-2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251D-4C15-A942-2624E2451370}"/>
            </c:ext>
          </c:extLst>
        </c:ser>
        <c:ser>
          <c:idx val="4"/>
          <c:order val="6"/>
          <c:tx>
            <c:v>Peak 7,C</c:v>
          </c:tx>
          <c:spPr>
            <a:ln w="19050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square"/>
            <c:size val="10"/>
            <c:spPr>
              <a:noFill/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'PPM of xylan at 50c'!$A$18:$A$23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</c:numCache>
            </c:numRef>
          </c:xVal>
          <c:yVal>
            <c:numRef>
              <c:f>'PPM of xylan at 50c'!$H$18:$H$23</c:f>
              <c:numCache>
                <c:formatCode>General</c:formatCode>
                <c:ptCount val="6"/>
                <c:pt idx="0">
                  <c:v>0</c:v>
                </c:pt>
                <c:pt idx="1">
                  <c:v>7.9999999999997851E-3</c:v>
                </c:pt>
                <c:pt idx="2">
                  <c:v>1.4000000000000457E-2</c:v>
                </c:pt>
                <c:pt idx="3">
                  <c:v>1.9999999999999574E-2</c:v>
                </c:pt>
                <c:pt idx="4">
                  <c:v>2.2999999999999465E-2</c:v>
                </c:pt>
                <c:pt idx="5">
                  <c:v>4.2999999999999705E-2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251D-4C15-A942-2624E2451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455496"/>
        <c:axId val="305455888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2"/>
                <c:order val="5"/>
                <c:tx>
                  <c:v>peak 7</c:v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square"/>
                  <c:size val="8"/>
                  <c:spPr>
                    <a:noFill/>
                    <a:ln w="9525">
                      <a:solidFill>
                        <a:srgbClr val="C00000"/>
                      </a:solidFill>
                    </a:ln>
                    <a:effectLst/>
                  </c:spPr>
                </c:marker>
                <c:x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'PPM of xylan at 50c'!$A$18:$A$23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1</c:v>
                      </c:pt>
                      <c:pt idx="2">
                        <c:v>3</c:v>
                      </c:pt>
                      <c:pt idx="3">
                        <c:v>5</c:v>
                      </c:pt>
                      <c:pt idx="4">
                        <c:v>10</c:v>
                      </c:pt>
                      <c:pt idx="5">
                        <c:v>15</c:v>
                      </c:pt>
                    </c:numCache>
                  </c:num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'PPM of xylan at 50c'!$H$18:$H$23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7.9999999999997851E-3</c:v>
                      </c:pt>
                      <c:pt idx="2">
                        <c:v>1.4000000000000457E-2</c:v>
                      </c:pt>
                      <c:pt idx="3">
                        <c:v>1.9999999999999574E-2</c:v>
                      </c:pt>
                      <c:pt idx="4">
                        <c:v>2.2999999999999465E-2</c:v>
                      </c:pt>
                      <c:pt idx="5">
                        <c:v>4.2999999999999705E-2</c:v>
                      </c:pt>
                    </c:numCache>
                  </c:numRef>
                </c:yVal>
                <c:smooth val="1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6-251D-4C15-A942-2624E2451370}"/>
                  </c:ext>
                </c:extLst>
              </c15:ser>
            </c15:filteredScatterSeries>
          </c:ext>
        </c:extLst>
      </c:scatterChart>
      <c:valAx>
        <c:axId val="305455496"/>
        <c:scaling>
          <c:orientation val="minMax"/>
          <c:max val="18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Mass</a:t>
                </a:r>
                <a:r>
                  <a:rPr lang="en-GB" sz="1400" baseline="0"/>
                  <a:t> fraction of carbohydrates </a:t>
                </a:r>
                <a:r>
                  <a:rPr lang="en-GB" sz="1400"/>
                  <a:t>(wt %)</a:t>
                </a:r>
              </a:p>
            </c:rich>
          </c:tx>
          <c:layout>
            <c:manualLayout>
              <c:xMode val="edge"/>
              <c:yMode val="edge"/>
              <c:x val="0.34034603291519094"/>
              <c:y val="0.9213618540597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455888"/>
        <c:crosses val="autoZero"/>
        <c:crossBetween val="midCat"/>
        <c:majorUnit val="5"/>
      </c:valAx>
      <c:valAx>
        <c:axId val="305455888"/>
        <c:scaling>
          <c:orientation val="minMax"/>
          <c:max val="0.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∆</a:t>
                </a:r>
                <a:r>
                  <a:rPr lang="el-GR" sz="16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δ</a:t>
                </a:r>
                <a:r>
                  <a:rPr lang="en-GB" sz="16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/PPM </a:t>
                </a:r>
                <a:endParaRPr lang="en-GB" sz="1600"/>
              </a:p>
            </c:rich>
          </c:tx>
          <c:layout>
            <c:manualLayout>
              <c:xMode val="edge"/>
              <c:yMode val="edge"/>
              <c:x val="1.5346828663735065E-3"/>
              <c:y val="0.39749793020838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455496"/>
        <c:crosses val="autoZero"/>
        <c:crossBetween val="midCat"/>
        <c:majorUnit val="0.1"/>
      </c:valAx>
      <c:spPr>
        <a:noFill/>
        <a:ln>
          <a:solidFill>
            <a:schemeClr val="tx1"/>
          </a:solidFill>
          <a:prstDash val="sysDot"/>
        </a:ln>
        <a:effectLst/>
      </c:spPr>
    </c:plotArea>
    <c:legend>
      <c:legendPos val="r"/>
      <c:layout>
        <c:manualLayout>
          <c:xMode val="edge"/>
          <c:yMode val="edge"/>
          <c:x val="0.79177509716129912"/>
          <c:y val="0.44569878411841629"/>
          <c:w val="0.13384201397139192"/>
          <c:h val="0.289802732255641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539370078740152E-2"/>
          <c:y val="6.4814814814814811E-2"/>
          <c:w val="0.8762384076990376"/>
          <c:h val="0.898148148148148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'PPM of xylan at 50c'!$B$56</c:f>
              <c:strCache>
                <c:ptCount val="1"/>
                <c:pt idx="0">
                  <c:v>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'PPM of xylan at 50c'!$C$55:$H$55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</c:numCache>
            </c:numRef>
          </c:xVal>
          <c:yVal>
            <c:numRef>
              <c:f>'PPM of xylan at 50c'!$C$56:$H$56</c:f>
              <c:numCache>
                <c:formatCode>General</c:formatCode>
                <c:ptCount val="6"/>
                <c:pt idx="0">
                  <c:v>0</c:v>
                </c:pt>
                <c:pt idx="1">
                  <c:v>-0.28099999999999881</c:v>
                </c:pt>
                <c:pt idx="2">
                  <c:v>-0.31700000000000017</c:v>
                </c:pt>
                <c:pt idx="3">
                  <c:v>-0.3539999999999992</c:v>
                </c:pt>
                <c:pt idx="4">
                  <c:v>-0.45599999999999952</c:v>
                </c:pt>
                <c:pt idx="5">
                  <c:v>-0.59700000000000131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E52-4E4B-8809-72633A6BA45A}"/>
            </c:ext>
          </c:extLst>
        </c:ser>
        <c:ser>
          <c:idx val="1"/>
          <c:order val="1"/>
          <c:tx>
            <c:strRef>
              <c:f>'PPM of xylan at 50c'!$B$57</c:f>
              <c:strCache>
                <c:ptCount val="1"/>
                <c:pt idx="0">
                  <c:v>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'PPM of xylan at 50c'!$C$55:$H$55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</c:numCache>
            </c:numRef>
          </c:xVal>
          <c:yVal>
            <c:numRef>
              <c:f>'PPM of xylan at 50c'!$C$57:$H$57</c:f>
              <c:numCache>
                <c:formatCode>General</c:formatCode>
                <c:ptCount val="6"/>
                <c:pt idx="0">
                  <c:v>0</c:v>
                </c:pt>
                <c:pt idx="1">
                  <c:v>-0.25799999999999912</c:v>
                </c:pt>
                <c:pt idx="2">
                  <c:v>-0.27899999999999991</c:v>
                </c:pt>
                <c:pt idx="3">
                  <c:v>-0.29499999999999815</c:v>
                </c:pt>
                <c:pt idx="4">
                  <c:v>-0.35099999999999909</c:v>
                </c:pt>
                <c:pt idx="5">
                  <c:v>-0.43299999999999983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52-4E4B-8809-72633A6BA45A}"/>
            </c:ext>
          </c:extLst>
        </c:ser>
        <c:ser>
          <c:idx val="2"/>
          <c:order val="2"/>
          <c:tx>
            <c:strRef>
              <c:f>'PPM of xylan at 50c'!$B$58</c:f>
              <c:strCache>
                <c:ptCount val="1"/>
                <c:pt idx="0">
                  <c:v>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'PPM of xylan at 50c'!$C$55:$H$55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</c:numCache>
            </c:numRef>
          </c:xVal>
          <c:yVal>
            <c:numRef>
              <c:f>'PPM of xylan at 50c'!$C$58:$H$58</c:f>
              <c:numCache>
                <c:formatCode>General</c:formatCode>
                <c:ptCount val="6"/>
                <c:pt idx="0">
                  <c:v>0</c:v>
                </c:pt>
                <c:pt idx="1">
                  <c:v>-0.25900000000000034</c:v>
                </c:pt>
                <c:pt idx="2">
                  <c:v>-0.27700000000000102</c:v>
                </c:pt>
                <c:pt idx="3">
                  <c:v>-0.29199999999999804</c:v>
                </c:pt>
                <c:pt idx="4">
                  <c:v>-0.34100000000000108</c:v>
                </c:pt>
                <c:pt idx="5">
                  <c:v>-0.40700000000000003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E52-4E4B-8809-72633A6BA45A}"/>
            </c:ext>
          </c:extLst>
        </c:ser>
        <c:ser>
          <c:idx val="3"/>
          <c:order val="3"/>
          <c:tx>
            <c:strRef>
              <c:f>'PPM of xylan at 50c'!$B$59</c:f>
              <c:strCache>
                <c:ptCount val="1"/>
                <c:pt idx="0">
                  <c:v>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'PPM of xylan at 50c'!$C$55:$H$55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</c:numCache>
            </c:numRef>
          </c:xVal>
          <c:yVal>
            <c:numRef>
              <c:f>'PPM of xylan at 50c'!$C$59:$H$59</c:f>
              <c:numCache>
                <c:formatCode>General</c:formatCode>
                <c:ptCount val="6"/>
                <c:pt idx="0">
                  <c:v>0</c:v>
                </c:pt>
                <c:pt idx="1">
                  <c:v>-0.25</c:v>
                </c:pt>
                <c:pt idx="2">
                  <c:v>-0.24500000000000011</c:v>
                </c:pt>
                <c:pt idx="3">
                  <c:v>-0.24599999999999955</c:v>
                </c:pt>
                <c:pt idx="4">
                  <c:v>-0.23399999999999999</c:v>
                </c:pt>
                <c:pt idx="5">
                  <c:v>-0.23200000000000021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E52-4E4B-8809-72633A6BA45A}"/>
            </c:ext>
          </c:extLst>
        </c:ser>
        <c:ser>
          <c:idx val="4"/>
          <c:order val="4"/>
          <c:tx>
            <c:strRef>
              <c:f>'PPM of xylan at 50c'!$B$60</c:f>
              <c:strCache>
                <c:ptCount val="1"/>
                <c:pt idx="0">
                  <c:v>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'PPM of xylan at 50c'!$C$55:$H$55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</c:numCache>
            </c:numRef>
          </c:xVal>
          <c:yVal>
            <c:numRef>
              <c:f>'PPM of xylan at 50c'!$C$60:$H$60</c:f>
              <c:numCache>
                <c:formatCode>General</c:formatCode>
                <c:ptCount val="6"/>
                <c:pt idx="0">
                  <c:v>0</c:v>
                </c:pt>
                <c:pt idx="1">
                  <c:v>-0.24000000000000021</c:v>
                </c:pt>
                <c:pt idx="2">
                  <c:v>-0.24000000000000021</c:v>
                </c:pt>
                <c:pt idx="3">
                  <c:v>-0.24000000000000021</c:v>
                </c:pt>
                <c:pt idx="4">
                  <c:v>-0.24000000000000021</c:v>
                </c:pt>
                <c:pt idx="5">
                  <c:v>-0.24000000000000021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E52-4E4B-8809-72633A6BA45A}"/>
            </c:ext>
          </c:extLst>
        </c:ser>
        <c:ser>
          <c:idx val="5"/>
          <c:order val="5"/>
          <c:tx>
            <c:strRef>
              <c:f>'PPM of xylan at 50c'!$B$61</c:f>
              <c:strCache>
                <c:ptCount val="1"/>
                <c:pt idx="0">
                  <c:v>Anion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'PPM of xylan at 50c'!$C$55:$H$55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</c:numCache>
            </c:numRef>
          </c:xVal>
          <c:yVal>
            <c:numRef>
              <c:f>'PPM of xylan at 50c'!$C$61:$H$61</c:f>
              <c:numCache>
                <c:formatCode>General</c:formatCode>
                <c:ptCount val="6"/>
                <c:pt idx="0">
                  <c:v>0</c:v>
                </c:pt>
                <c:pt idx="1">
                  <c:v>-2.3999999999999799E-2</c:v>
                </c:pt>
                <c:pt idx="2">
                  <c:v>-1.7000000000000126E-2</c:v>
                </c:pt>
                <c:pt idx="3">
                  <c:v>8.0000000000004512E-3</c:v>
                </c:pt>
                <c:pt idx="4">
                  <c:v>1.2000000000000455E-2</c:v>
                </c:pt>
                <c:pt idx="5">
                  <c:v>3.8999999999999924E-2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E52-4E4B-8809-72633A6BA45A}"/>
            </c:ext>
          </c:extLst>
        </c:ser>
        <c:ser>
          <c:idx val="6"/>
          <c:order val="6"/>
          <c:tx>
            <c:strRef>
              <c:f>'PPM of xylan at 50c'!$B$62</c:f>
              <c:strCache>
                <c:ptCount val="1"/>
                <c:pt idx="0">
                  <c:v>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'PPM of xylan at 50c'!$C$55:$H$55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</c:numCache>
            </c:numRef>
          </c:xVal>
          <c:yVal>
            <c:numRef>
              <c:f>'PPM of xylan at 50c'!$C$62:$H$62</c:f>
              <c:numCache>
                <c:formatCode>General</c:formatCode>
                <c:ptCount val="6"/>
                <c:pt idx="0">
                  <c:v>0</c:v>
                </c:pt>
                <c:pt idx="1">
                  <c:v>-0.24699999999999989</c:v>
                </c:pt>
                <c:pt idx="2">
                  <c:v>-0.24199999999999999</c:v>
                </c:pt>
                <c:pt idx="3">
                  <c:v>-0.24399999999999955</c:v>
                </c:pt>
                <c:pt idx="4">
                  <c:v>-0.23199999999999954</c:v>
                </c:pt>
                <c:pt idx="5">
                  <c:v>-0.21799999999999997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E52-4E4B-8809-72633A6BA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456672"/>
        <c:axId val="305457064"/>
      </c:scatterChart>
      <c:valAx>
        <c:axId val="305456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457064"/>
        <c:crosses val="autoZero"/>
        <c:crossBetween val="midCat"/>
      </c:valAx>
      <c:valAx>
        <c:axId val="305457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456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986055555555559"/>
          <c:y val="3.2481944444444445E-2"/>
          <c:w val="0.74596925925925928"/>
          <c:h val="0.76925111111111111"/>
        </c:manualLayout>
      </c:layout>
      <c:scatterChart>
        <c:scatterStyle val="lineMarker"/>
        <c:varyColors val="0"/>
        <c:ser>
          <c:idx val="6"/>
          <c:order val="0"/>
          <c:tx>
            <c:v>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gradFill>
                <a:gsLst>
                  <a:gs pos="86840">
                    <a:srgbClr val="7030A0"/>
                  </a:gs>
                  <a:gs pos="25000">
                    <a:srgbClr val="7030A0"/>
                  </a:gs>
                  <a:gs pos="80000">
                    <a:schemeClr val="accent1">
                      <a:lumMod val="45000"/>
                      <a:lumOff val="55000"/>
                    </a:schemeClr>
                  </a:gs>
                  <a:gs pos="79000">
                    <a:schemeClr val="accent1">
                      <a:lumMod val="60000"/>
                      <a:lumOff val="40000"/>
                    </a:schemeClr>
                  </a:gs>
                  <a:gs pos="90000">
                    <a:srgbClr val="FFFF00"/>
                  </a:gs>
                </a:gsLst>
                <a:lin ang="5400000" scaled="1"/>
              </a:gradFill>
              <a:ln w="9525">
                <a:solidFill>
                  <a:srgbClr val="7030A0"/>
                </a:solidFill>
              </a:ln>
              <a:effectLst/>
            </c:spPr>
          </c:marker>
          <c:trendline>
            <c:spPr>
              <a:ln w="12700" cap="rnd">
                <a:solidFill>
                  <a:srgbClr val="7030A0"/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'Ln (D) vs Temp to eta'!$B$9:$B$13</c:f>
              <c:numCache>
                <c:formatCode>General</c:formatCode>
                <c:ptCount val="5"/>
                <c:pt idx="0">
                  <c:v>1784.5620015827599</c:v>
                </c:pt>
                <c:pt idx="1">
                  <c:v>3535.6068204613839</c:v>
                </c:pt>
                <c:pt idx="2">
                  <c:v>6118.601016021883</c:v>
                </c:pt>
                <c:pt idx="3">
                  <c:v>9849.1313623895148</c:v>
                </c:pt>
                <c:pt idx="4">
                  <c:v>14616.970866970865</c:v>
                </c:pt>
              </c:numCache>
            </c:numRef>
          </c:xVal>
          <c:yVal>
            <c:numRef>
              <c:f>'Ln (D) vs Temp to eta'!$C$9:$C$13</c:f>
              <c:numCache>
                <c:formatCode>General</c:formatCode>
                <c:ptCount val="5"/>
                <c:pt idx="0">
                  <c:v>9.5654274509803925E-12</c:v>
                </c:pt>
                <c:pt idx="1">
                  <c:v>1.6062588235294118E-11</c:v>
                </c:pt>
                <c:pt idx="2">
                  <c:v>3.0483393939393933E-11</c:v>
                </c:pt>
                <c:pt idx="3">
                  <c:v>4.5985212121212116E-11</c:v>
                </c:pt>
                <c:pt idx="4">
                  <c:v>7.2766400000000001E-11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F8-47C0-A03F-CDC6D3A51DCF}"/>
            </c:ext>
          </c:extLst>
        </c:ser>
        <c:ser>
          <c:idx val="0"/>
          <c:order val="1"/>
          <c:tx>
            <c:v>1%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5875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'Ln (D) vs Temp to eta'!$D$9:$D$13</c:f>
              <c:numCache>
                <c:formatCode>General</c:formatCode>
                <c:ptCount val="5"/>
                <c:pt idx="0">
                  <c:v>820.07630303447172</c:v>
                </c:pt>
                <c:pt idx="1">
                  <c:v>1573.7340767214114</c:v>
                </c:pt>
                <c:pt idx="2">
                  <c:v>2795.9438690084812</c:v>
                </c:pt>
                <c:pt idx="3">
                  <c:v>4401.9523217277028</c:v>
                </c:pt>
                <c:pt idx="4">
                  <c:v>6439.5735968619647</c:v>
                </c:pt>
              </c:numCache>
            </c:numRef>
          </c:xVal>
          <c:yVal>
            <c:numRef>
              <c:f>'Ln (D) vs Temp to eta'!$E$9:$E$13</c:f>
              <c:numCache>
                <c:formatCode>General</c:formatCode>
                <c:ptCount val="5"/>
                <c:pt idx="0">
                  <c:v>8.3171699999999998E-12</c:v>
                </c:pt>
                <c:pt idx="1">
                  <c:v>1.68E-11</c:v>
                </c:pt>
                <c:pt idx="2">
                  <c:v>3.0106700000000001E-11</c:v>
                </c:pt>
                <c:pt idx="3">
                  <c:v>4.6361700000000001E-11</c:v>
                </c:pt>
                <c:pt idx="4">
                  <c:v>6.6053299999999999E-11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DA-440D-A810-99665DB032AE}"/>
            </c:ext>
          </c:extLst>
        </c:ser>
        <c:ser>
          <c:idx val="1"/>
          <c:order val="2"/>
          <c:tx>
            <c:v>3%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'Ln (D) vs Temp to eta'!$F$9:$F$13</c:f>
              <c:numCache>
                <c:formatCode>General</c:formatCode>
                <c:ptCount val="5"/>
                <c:pt idx="0">
                  <c:v>334.55123569730051</c:v>
                </c:pt>
                <c:pt idx="1">
                  <c:v>731.34231583168992</c:v>
                </c:pt>
                <c:pt idx="2">
                  <c:v>1431.3646652223233</c:v>
                </c:pt>
                <c:pt idx="3">
                  <c:v>2525.8434062682413</c:v>
                </c:pt>
                <c:pt idx="4">
                  <c:v>4236.1327678197304</c:v>
                </c:pt>
              </c:numCache>
            </c:numRef>
          </c:xVal>
          <c:yVal>
            <c:numRef>
              <c:f>'Ln (D) vs Temp to eta'!$G$9:$G$13</c:f>
              <c:numCache>
                <c:formatCode>General</c:formatCode>
                <c:ptCount val="5"/>
                <c:pt idx="0">
                  <c:v>7.2899999999999998E-12</c:v>
                </c:pt>
                <c:pt idx="1">
                  <c:v>1.42E-11</c:v>
                </c:pt>
                <c:pt idx="2">
                  <c:v>2.5299999999999999E-11</c:v>
                </c:pt>
                <c:pt idx="3">
                  <c:v>3.9999999999999998E-11</c:v>
                </c:pt>
                <c:pt idx="4">
                  <c:v>5.6300000000000002E-11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BDA-440D-A810-99665DB032AE}"/>
            </c:ext>
          </c:extLst>
        </c:ser>
        <c:ser>
          <c:idx val="2"/>
          <c:order val="3"/>
          <c:tx>
            <c:v>5%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10"/>
            <c:spPr>
              <a:noFill/>
              <a:ln w="9525">
                <a:solidFill>
                  <a:srgbClr val="C00000"/>
                </a:solidFill>
              </a:ln>
              <a:effectLst/>
            </c:spPr>
          </c:marker>
          <c:trendline>
            <c:spPr>
              <a:ln w="12700" cap="rnd">
                <a:solidFill>
                  <a:srgbClr val="C00000"/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'Ln (D) vs Temp to eta'!$H$9:$H$13</c:f>
              <c:numCache>
                <c:formatCode>General</c:formatCode>
                <c:ptCount val="5"/>
                <c:pt idx="0">
                  <c:v>128.27217418482584</c:v>
                </c:pt>
                <c:pt idx="1">
                  <c:v>310.05670186714997</c:v>
                </c:pt>
                <c:pt idx="2">
                  <c:v>645.27227591989833</c:v>
                </c:pt>
                <c:pt idx="3">
                  <c:v>1247.5694502288738</c:v>
                </c:pt>
                <c:pt idx="4">
                  <c:v>2120.184773162413</c:v>
                </c:pt>
              </c:numCache>
            </c:numRef>
          </c:xVal>
          <c:yVal>
            <c:numRef>
              <c:f>'Ln (D) vs Temp to eta'!$I$9:$I$13</c:f>
              <c:numCache>
                <c:formatCode>General</c:formatCode>
                <c:ptCount val="5"/>
                <c:pt idx="0">
                  <c:v>5.8900000000000001E-12</c:v>
                </c:pt>
                <c:pt idx="1">
                  <c:v>1.2100000000000001E-11</c:v>
                </c:pt>
                <c:pt idx="2">
                  <c:v>2.0599999999999999E-11</c:v>
                </c:pt>
                <c:pt idx="3">
                  <c:v>3.3000000000000002E-11</c:v>
                </c:pt>
                <c:pt idx="4">
                  <c:v>5.2599999999999998E-11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BDA-440D-A810-99665DB032AE}"/>
            </c:ext>
          </c:extLst>
        </c:ser>
        <c:ser>
          <c:idx val="3"/>
          <c:order val="4"/>
          <c:tx>
            <c:v>10%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accent4"/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'Ln (D) vs Temp to eta'!$J$9:$J$13</c:f>
              <c:numCache>
                <c:formatCode>General</c:formatCode>
                <c:ptCount val="5"/>
                <c:pt idx="0">
                  <c:v>20.057074590495439</c:v>
                </c:pt>
                <c:pt idx="1">
                  <c:v>55.006671029948869</c:v>
                </c:pt>
                <c:pt idx="2">
                  <c:v>126.5102480194968</c:v>
                </c:pt>
                <c:pt idx="3">
                  <c:v>260.48104672467906</c:v>
                </c:pt>
                <c:pt idx="4">
                  <c:v>499.40627578654124</c:v>
                </c:pt>
              </c:numCache>
            </c:numRef>
          </c:xVal>
          <c:yVal>
            <c:numRef>
              <c:f>'Ln (D) vs Temp to eta'!$K$9:$K$13</c:f>
              <c:numCache>
                <c:formatCode>0.00E+00</c:formatCode>
                <c:ptCount val="5"/>
                <c:pt idx="0">
                  <c:v>3.5366666666666665E-12</c:v>
                </c:pt>
                <c:pt idx="1">
                  <c:v>7.4381666666666656E-12</c:v>
                </c:pt>
                <c:pt idx="2">
                  <c:v>1.3821666666666668E-11</c:v>
                </c:pt>
                <c:pt idx="3">
                  <c:v>2.2716666666666668E-11</c:v>
                </c:pt>
                <c:pt idx="4">
                  <c:v>3.597E-11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1BDA-440D-A810-99665DB032AE}"/>
            </c:ext>
          </c:extLst>
        </c:ser>
        <c:ser>
          <c:idx val="4"/>
          <c:order val="5"/>
          <c:tx>
            <c:v>15%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0"/>
            <c:spPr>
              <a:gradFill>
                <a:gsLst>
                  <a:gs pos="30000">
                    <a:srgbClr val="00B0F0"/>
                  </a:gs>
                  <a:gs pos="80000">
                    <a:schemeClr val="accent1">
                      <a:lumMod val="45000"/>
                      <a:lumOff val="55000"/>
                    </a:schemeClr>
                  </a:gs>
                  <a:gs pos="7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9525">
                <a:solidFill>
                  <a:srgbClr val="00B0F0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accent5"/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'Ln (D) vs Temp to eta'!$L$9:$L$13</c:f>
              <c:numCache>
                <c:formatCode>General</c:formatCode>
                <c:ptCount val="5"/>
                <c:pt idx="0">
                  <c:v>5.7601908946153069</c:v>
                </c:pt>
                <c:pt idx="1">
                  <c:v>18.93243659120407</c:v>
                </c:pt>
                <c:pt idx="2">
                  <c:v>47.98465795534527</c:v>
                </c:pt>
                <c:pt idx="3">
                  <c:v>104.8033031791342</c:v>
                </c:pt>
                <c:pt idx="4">
                  <c:v>205.87406371551202</c:v>
                </c:pt>
              </c:numCache>
            </c:numRef>
          </c:xVal>
          <c:yVal>
            <c:numRef>
              <c:f>'Ln (D) vs Temp to eta'!$M$9:$M$13</c:f>
              <c:numCache>
                <c:formatCode>0.00E+00</c:formatCode>
                <c:ptCount val="5"/>
                <c:pt idx="0">
                  <c:v>1.8474000000000004E-12</c:v>
                </c:pt>
                <c:pt idx="1">
                  <c:v>4.5252000000000001E-12</c:v>
                </c:pt>
                <c:pt idx="2">
                  <c:v>8.6936666666666664E-12</c:v>
                </c:pt>
                <c:pt idx="3">
                  <c:v>1.5045000000000001E-11</c:v>
                </c:pt>
                <c:pt idx="4">
                  <c:v>2.4268333333333335E-11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1BDA-440D-A810-99665DB032AE}"/>
            </c:ext>
          </c:extLst>
        </c:ser>
        <c:ser>
          <c:idx val="5"/>
          <c:order val="6"/>
          <c:tx>
            <c:v>15%C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accent6"/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'Ln (D) vs Temp to eta'!$N$9:$N$13</c:f>
              <c:numCache>
                <c:formatCode>General</c:formatCode>
                <c:ptCount val="5"/>
                <c:pt idx="0">
                  <c:v>4.9843513501258805</c:v>
                </c:pt>
                <c:pt idx="1">
                  <c:v>11.463406538430213</c:v>
                </c:pt>
                <c:pt idx="2">
                  <c:v>25.022807585062353</c:v>
                </c:pt>
                <c:pt idx="3">
                  <c:v>47.592179738024015</c:v>
                </c:pt>
                <c:pt idx="4">
                  <c:v>81.416601390965837</c:v>
                </c:pt>
              </c:numCache>
            </c:numRef>
          </c:xVal>
          <c:yVal>
            <c:numRef>
              <c:f>'Ln (D) vs Temp to eta'!$O$9:$O$13</c:f>
              <c:numCache>
                <c:formatCode>General</c:formatCode>
                <c:ptCount val="5"/>
                <c:pt idx="0">
                  <c:v>1.3196283185840709E-12</c:v>
                </c:pt>
                <c:pt idx="1">
                  <c:v>2.8922248995983937E-12</c:v>
                </c:pt>
                <c:pt idx="2">
                  <c:v>6.0412862745098045E-12</c:v>
                </c:pt>
                <c:pt idx="3">
                  <c:v>1.1162363636363635E-11</c:v>
                </c:pt>
                <c:pt idx="4">
                  <c:v>1.8313939393939392E-11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1BDA-440D-A810-99665DB03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457848"/>
        <c:axId val="305458240"/>
      </c:scatterChart>
      <c:valAx>
        <c:axId val="305457848"/>
        <c:scaling>
          <c:logBase val="10"/>
          <c:orientation val="minMax"/>
          <c:max val="100000"/>
          <c:min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Cambria" panose="02040503050406030204" pitchFamily="18" charset="0"/>
                    <a:ea typeface="+mn-ea"/>
                    <a:cs typeface="+mn-cs"/>
                  </a:defRPr>
                </a:pPr>
                <a:r>
                  <a:rPr lang="en-GB" sz="1400" b="0" i="0" baseline="0">
                    <a:effectLst/>
                  </a:rPr>
                  <a:t>T/</a:t>
                </a:r>
                <a:r>
                  <a:rPr lang="el-GR" sz="1400" b="0" i="1" baseline="0">
                    <a:effectLst/>
                  </a:rPr>
                  <a:t>η</a:t>
                </a:r>
                <a:r>
                  <a:rPr lang="en-GB" sz="1400" b="0" i="0" baseline="0">
                    <a:effectLst/>
                  </a:rPr>
                  <a:t> (K Pa </a:t>
                </a:r>
                <a:r>
                  <a:rPr lang="en-GB" sz="1400" b="0" i="0" baseline="30000">
                    <a:effectLst/>
                  </a:rPr>
                  <a:t>-1</a:t>
                </a:r>
                <a:r>
                  <a:rPr lang="en-GB" sz="1400" b="0" i="0" baseline="0">
                    <a:effectLst/>
                  </a:rPr>
                  <a:t>. s </a:t>
                </a:r>
                <a:r>
                  <a:rPr lang="en-GB" sz="1400" b="0" i="0" baseline="30000">
                    <a:effectLst/>
                  </a:rPr>
                  <a:t>-1</a:t>
                </a:r>
                <a:r>
                  <a:rPr lang="en-GB" sz="1400" b="0" i="0" baseline="0">
                    <a:effectLst/>
                  </a:rPr>
                  <a:t>) </a:t>
                </a:r>
                <a:endParaRPr lang="en-GB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5508660165301068"/>
              <c:y val="0.90998861288101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mbria" panose="020405030504060302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458240"/>
        <c:crossesAt val="1.0000000000000007E-13"/>
        <c:crossBetween val="midCat"/>
        <c:majorUnit val="10"/>
      </c:valAx>
      <c:valAx>
        <c:axId val="305458240"/>
        <c:scaling>
          <c:logBase val="10"/>
          <c:orientation val="minMax"/>
          <c:max val="1.0000000000000005E-9"/>
          <c:min val="1.0000000000000007E-1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 sz="16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</a:t>
                </a:r>
                <a:r>
                  <a:rPr lang="en-GB" sz="1600" b="0" i="1" baseline="-2500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C2mim</a:t>
                </a:r>
                <a:r>
                  <a:rPr lang="en-GB" sz="16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/ m²s </a:t>
                </a:r>
                <a:r>
                  <a:rPr lang="en-GB" sz="1600" b="0" i="0" baseline="3000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-1</a:t>
                </a:r>
                <a:endParaRPr lang="en-GB" sz="1600" baseline="300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6939094341516737E-2"/>
              <c:y val="0.254031388888888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+mn-ea"/>
                <a:cs typeface="+mn-cs"/>
              </a:defRPr>
            </a:pPr>
            <a:endParaRPr lang="en-US"/>
          </a:p>
        </c:txPr>
        <c:crossAx val="305457848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ayout>
        <c:manualLayout>
          <c:xMode val="edge"/>
          <c:yMode val="edge"/>
          <c:x val="0.78419296296296293"/>
          <c:y val="0.32918111111111109"/>
          <c:w val="0.13876666666666668"/>
          <c:h val="0.396311388888888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524833333333334"/>
          <c:y val="2.9976944444444441E-2"/>
          <c:w val="0.75878964219589373"/>
          <c:h val="0.78043158646937183"/>
        </c:manualLayout>
      </c:layout>
      <c:scatterChart>
        <c:scatterStyle val="lineMarker"/>
        <c:varyColors val="0"/>
        <c:ser>
          <c:idx val="6"/>
          <c:order val="0"/>
          <c:tx>
            <c:v>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gradFill>
                <a:gsLst>
                  <a:gs pos="86840">
                    <a:srgbClr val="7030A0"/>
                  </a:gs>
                  <a:gs pos="25000">
                    <a:srgbClr val="7030A0"/>
                  </a:gs>
                  <a:gs pos="80000">
                    <a:schemeClr val="accent1">
                      <a:lumMod val="45000"/>
                      <a:lumOff val="55000"/>
                    </a:schemeClr>
                  </a:gs>
                  <a:gs pos="79000">
                    <a:schemeClr val="accent1">
                      <a:lumMod val="60000"/>
                      <a:lumOff val="40000"/>
                    </a:schemeClr>
                  </a:gs>
                  <a:gs pos="90000">
                    <a:srgbClr val="FFFF00"/>
                  </a:gs>
                </a:gsLst>
                <a:lin ang="5400000" scaled="1"/>
              </a:gradFill>
              <a:ln w="9525">
                <a:solidFill>
                  <a:srgbClr val="7030A0"/>
                </a:solidFill>
              </a:ln>
              <a:effectLst/>
            </c:spPr>
          </c:marker>
          <c:trendline>
            <c:spPr>
              <a:ln w="12700" cap="rnd">
                <a:solidFill>
                  <a:srgbClr val="7030A0"/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'Ln (D) vs Temp to eta'!$B$18:$B$22</c:f>
              <c:numCache>
                <c:formatCode>General</c:formatCode>
                <c:ptCount val="5"/>
                <c:pt idx="0">
                  <c:v>1784.5620015827599</c:v>
                </c:pt>
                <c:pt idx="1">
                  <c:v>3535.6068204613839</c:v>
                </c:pt>
                <c:pt idx="2">
                  <c:v>6118.601016021883</c:v>
                </c:pt>
                <c:pt idx="3">
                  <c:v>9849.1313623895148</c:v>
                </c:pt>
                <c:pt idx="4">
                  <c:v>14616.970866970865</c:v>
                </c:pt>
              </c:numCache>
            </c:numRef>
          </c:xVal>
          <c:yVal>
            <c:numRef>
              <c:f>'Ln (D) vs Temp to eta'!$C$18:$C$22</c:f>
              <c:numCache>
                <c:formatCode>General</c:formatCode>
                <c:ptCount val="5"/>
                <c:pt idx="0">
                  <c:v>7.7200000000000002E-12</c:v>
                </c:pt>
                <c:pt idx="1">
                  <c:v>1.37E-11</c:v>
                </c:pt>
                <c:pt idx="2">
                  <c:v>2.5699999999999999E-11</c:v>
                </c:pt>
                <c:pt idx="3">
                  <c:v>3.8699999999999999E-11</c:v>
                </c:pt>
                <c:pt idx="4">
                  <c:v>6.5500000000000006E-11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F8-47C0-A03F-CDC6D3A51DCF}"/>
            </c:ext>
          </c:extLst>
        </c:ser>
        <c:ser>
          <c:idx val="0"/>
          <c:order val="1"/>
          <c:tx>
            <c:v>1%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'Ln (D) vs Temp to eta'!$D$18:$D$22</c:f>
              <c:numCache>
                <c:formatCode>General</c:formatCode>
                <c:ptCount val="5"/>
                <c:pt idx="0">
                  <c:v>820.07630303447172</c:v>
                </c:pt>
                <c:pt idx="1">
                  <c:v>1573.7340767214114</c:v>
                </c:pt>
                <c:pt idx="2">
                  <c:v>2795.9438690084812</c:v>
                </c:pt>
                <c:pt idx="3">
                  <c:v>4401.9523217277028</c:v>
                </c:pt>
                <c:pt idx="4">
                  <c:v>6439.5735968619647</c:v>
                </c:pt>
              </c:numCache>
            </c:numRef>
          </c:xVal>
          <c:yVal>
            <c:numRef>
              <c:f>'Ln (D) vs Temp to eta'!$E$18:$E$22</c:f>
              <c:numCache>
                <c:formatCode>General</c:formatCode>
                <c:ptCount val="5"/>
                <c:pt idx="0">
                  <c:v>7.0200000000000004E-12</c:v>
                </c:pt>
                <c:pt idx="1">
                  <c:v>1.44E-11</c:v>
                </c:pt>
                <c:pt idx="2">
                  <c:v>2.6400000000000001E-11</c:v>
                </c:pt>
                <c:pt idx="3">
                  <c:v>4.1000000000000001E-11</c:v>
                </c:pt>
                <c:pt idx="4">
                  <c:v>5.92E-11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DA-440D-A810-99665DB032AE}"/>
            </c:ext>
          </c:extLst>
        </c:ser>
        <c:ser>
          <c:idx val="1"/>
          <c:order val="2"/>
          <c:tx>
            <c:v>3%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chemeClr val="accent2"/>
              </a:solidFill>
              <a:ln w="19050">
                <a:solidFill>
                  <a:schemeClr val="accent2"/>
                </a:solidFill>
                <a:prstDash val="solid"/>
              </a:ln>
              <a:effectLst/>
            </c:spPr>
          </c:marker>
          <c:trendline>
            <c:spPr>
              <a:ln w="1270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'Ln (D) vs Temp to eta'!$F$18:$F$22</c:f>
              <c:numCache>
                <c:formatCode>General</c:formatCode>
                <c:ptCount val="5"/>
                <c:pt idx="0">
                  <c:v>334.55123569730051</c:v>
                </c:pt>
                <c:pt idx="1">
                  <c:v>731.34231583168992</c:v>
                </c:pt>
                <c:pt idx="2">
                  <c:v>1431.3646652223233</c:v>
                </c:pt>
                <c:pt idx="3">
                  <c:v>2525.8434062682413</c:v>
                </c:pt>
                <c:pt idx="4">
                  <c:v>4236.1327678197304</c:v>
                </c:pt>
              </c:numCache>
            </c:numRef>
          </c:xVal>
          <c:yVal>
            <c:numRef>
              <c:f>'Ln (D) vs Temp to eta'!$G$18:$G$22</c:f>
              <c:numCache>
                <c:formatCode>General</c:formatCode>
                <c:ptCount val="5"/>
                <c:pt idx="0">
                  <c:v>6.1900000000000001E-12</c:v>
                </c:pt>
                <c:pt idx="1">
                  <c:v>1.2200000000000001E-11</c:v>
                </c:pt>
                <c:pt idx="2">
                  <c:v>2.21E-11</c:v>
                </c:pt>
                <c:pt idx="3">
                  <c:v>3.5199999999999999E-11</c:v>
                </c:pt>
                <c:pt idx="4">
                  <c:v>5.17E-11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BDA-440D-A810-99665DB032AE}"/>
            </c:ext>
          </c:extLst>
        </c:ser>
        <c:ser>
          <c:idx val="2"/>
          <c:order val="3"/>
          <c:tx>
            <c:v>5%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10"/>
            <c:spPr>
              <a:noFill/>
              <a:ln w="9525">
                <a:solidFill>
                  <a:srgbClr val="C00000"/>
                </a:solidFill>
              </a:ln>
              <a:effectLst/>
            </c:spPr>
          </c:marker>
          <c:trendline>
            <c:spPr>
              <a:ln w="12700" cap="rnd">
                <a:solidFill>
                  <a:srgbClr val="C00000"/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'Ln (D) vs Temp to eta'!$H$18:$H$22</c:f>
              <c:numCache>
                <c:formatCode>General</c:formatCode>
                <c:ptCount val="5"/>
                <c:pt idx="0">
                  <c:v>128.27217418482584</c:v>
                </c:pt>
                <c:pt idx="1">
                  <c:v>310.05670186714997</c:v>
                </c:pt>
                <c:pt idx="2">
                  <c:v>645.27227591989833</c:v>
                </c:pt>
                <c:pt idx="3">
                  <c:v>1247.5694502288738</c:v>
                </c:pt>
                <c:pt idx="4">
                  <c:v>2120.184773162413</c:v>
                </c:pt>
              </c:numCache>
            </c:numRef>
          </c:xVal>
          <c:yVal>
            <c:numRef>
              <c:f>'Ln (D) vs Temp to eta'!$I$18:$I$22</c:f>
              <c:numCache>
                <c:formatCode>General</c:formatCode>
                <c:ptCount val="5"/>
                <c:pt idx="0">
                  <c:v>1.0199999999999999E-11</c:v>
                </c:pt>
                <c:pt idx="1">
                  <c:v>1.7799999999999999E-11</c:v>
                </c:pt>
                <c:pt idx="2">
                  <c:v>2.8899999999999998E-11</c:v>
                </c:pt>
                <c:pt idx="3">
                  <c:v>4.6800000000000003E-11</c:v>
                </c:pt>
                <c:pt idx="4">
                  <c:v>7.18E-11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BDA-440D-A810-99665DB032AE}"/>
            </c:ext>
          </c:extLst>
        </c:ser>
        <c:ser>
          <c:idx val="3"/>
          <c:order val="4"/>
          <c:tx>
            <c:v>10%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4"/>
              </a:solidFill>
              <a:ln w="15875">
                <a:solidFill>
                  <a:schemeClr val="accent4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accent4"/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'Ln (D) vs Temp to eta'!$J$18:$J$22</c:f>
              <c:numCache>
                <c:formatCode>General</c:formatCode>
                <c:ptCount val="5"/>
                <c:pt idx="0">
                  <c:v>20.906190197021036</c:v>
                </c:pt>
                <c:pt idx="1">
                  <c:v>55.476839234905</c:v>
                </c:pt>
                <c:pt idx="2">
                  <c:v>128.17271375098093</c:v>
                </c:pt>
                <c:pt idx="3">
                  <c:v>254.74751364586061</c:v>
                </c:pt>
                <c:pt idx="4">
                  <c:v>493.93084930596149</c:v>
                </c:pt>
              </c:numCache>
            </c:numRef>
          </c:xVal>
          <c:yVal>
            <c:numRef>
              <c:f>'Ln (D) vs Temp to eta'!$K$18:$K$22</c:f>
              <c:numCache>
                <c:formatCode>General</c:formatCode>
                <c:ptCount val="5"/>
                <c:pt idx="0">
                  <c:v>2.9200000000000001E-12</c:v>
                </c:pt>
                <c:pt idx="1">
                  <c:v>6.1799999999999999E-12</c:v>
                </c:pt>
                <c:pt idx="2">
                  <c:v>1.1600000000000001E-11</c:v>
                </c:pt>
                <c:pt idx="3">
                  <c:v>1.9199999999999999E-11</c:v>
                </c:pt>
                <c:pt idx="4">
                  <c:v>3.0499999999999998E-11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1BDA-440D-A810-99665DB032AE}"/>
            </c:ext>
          </c:extLst>
        </c:ser>
        <c:ser>
          <c:idx val="4"/>
          <c:order val="5"/>
          <c:tx>
            <c:v>15%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0"/>
            <c:spPr>
              <a:gradFill>
                <a:gsLst>
                  <a:gs pos="30000">
                    <a:srgbClr val="00B0F0"/>
                  </a:gs>
                  <a:gs pos="80000">
                    <a:schemeClr val="accent1">
                      <a:lumMod val="45000"/>
                      <a:lumOff val="55000"/>
                    </a:schemeClr>
                  </a:gs>
                  <a:gs pos="7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9525">
                <a:solidFill>
                  <a:srgbClr val="00B0F0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accent5"/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'Ln (D) vs Temp to eta'!$L$18:$L$22</c:f>
              <c:numCache>
                <c:formatCode>General</c:formatCode>
                <c:ptCount val="5"/>
                <c:pt idx="0">
                  <c:v>6.0980686491536344</c:v>
                </c:pt>
                <c:pt idx="1">
                  <c:v>18.311459159080638</c:v>
                </c:pt>
                <c:pt idx="2">
                  <c:v>47.337149160615496</c:v>
                </c:pt>
                <c:pt idx="3">
                  <c:v>105.54147287913615</c:v>
                </c:pt>
                <c:pt idx="4">
                  <c:v>219.11140932544717</c:v>
                </c:pt>
              </c:numCache>
            </c:numRef>
          </c:xVal>
          <c:yVal>
            <c:numRef>
              <c:f>'Ln (D) vs Temp to eta'!$M$18:$M$22</c:f>
              <c:numCache>
                <c:formatCode>General</c:formatCode>
                <c:ptCount val="5"/>
                <c:pt idx="0">
                  <c:v>1.6E-12</c:v>
                </c:pt>
                <c:pt idx="1">
                  <c:v>3.7399999999999998E-12</c:v>
                </c:pt>
                <c:pt idx="2">
                  <c:v>7.1799999999999997E-12</c:v>
                </c:pt>
                <c:pt idx="3">
                  <c:v>1.24E-11</c:v>
                </c:pt>
                <c:pt idx="4">
                  <c:v>2.0199999999999999E-11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1BDA-440D-A810-99665DB032AE}"/>
            </c:ext>
          </c:extLst>
        </c:ser>
        <c:ser>
          <c:idx val="5"/>
          <c:order val="6"/>
          <c:tx>
            <c:v>15%C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accent6"/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'Ln (D) vs Temp to eta'!$N$18:$N$22</c:f>
              <c:numCache>
                <c:formatCode>General</c:formatCode>
                <c:ptCount val="5"/>
                <c:pt idx="0">
                  <c:v>4.9843513501258805</c:v>
                </c:pt>
                <c:pt idx="1">
                  <c:v>11.463406538430213</c:v>
                </c:pt>
                <c:pt idx="2">
                  <c:v>25.022807585062353</c:v>
                </c:pt>
                <c:pt idx="3">
                  <c:v>47.592179738024015</c:v>
                </c:pt>
                <c:pt idx="4">
                  <c:v>81.416601390965837</c:v>
                </c:pt>
              </c:numCache>
            </c:numRef>
          </c:xVal>
          <c:yVal>
            <c:numRef>
              <c:f>'Ln (D) vs Temp to eta'!$O$18:$O$22</c:f>
              <c:numCache>
                <c:formatCode>General</c:formatCode>
                <c:ptCount val="5"/>
                <c:pt idx="0">
                  <c:v>9.9472566371681425E-13</c:v>
                </c:pt>
                <c:pt idx="1">
                  <c:v>2.1468915662650604E-12</c:v>
                </c:pt>
                <c:pt idx="2">
                  <c:v>4.6070588235294119E-12</c:v>
                </c:pt>
                <c:pt idx="3">
                  <c:v>8.4152727272727263E-12</c:v>
                </c:pt>
                <c:pt idx="4">
                  <c:v>1.3350545454545454E-11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1BDA-440D-A810-99665DB03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6277744"/>
        <c:axId val="306278136"/>
      </c:scatterChart>
      <c:valAx>
        <c:axId val="306277744"/>
        <c:scaling>
          <c:logBase val="10"/>
          <c:orientation val="minMax"/>
          <c:max val="100000"/>
          <c:min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mbria" panose="02040503050406030204" pitchFamily="18" charset="0"/>
                    <a:ea typeface="+mn-ea"/>
                    <a:cs typeface="+mn-cs"/>
                  </a:defRPr>
                </a:pPr>
                <a:r>
                  <a:rPr lang="en-GB" sz="14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T/</a:t>
                </a:r>
                <a:r>
                  <a:rPr lang="el-GR" sz="1400" b="0" i="1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η</a:t>
                </a:r>
                <a:r>
                  <a:rPr lang="en-GB" sz="14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(K Pa </a:t>
                </a:r>
                <a:r>
                  <a:rPr lang="en-GB" sz="1400" b="0" i="0" baseline="3000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-1</a:t>
                </a:r>
                <a:r>
                  <a:rPr lang="en-GB" sz="14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. s </a:t>
                </a:r>
                <a:r>
                  <a:rPr lang="en-GB" sz="1400" b="0" i="0" baseline="3000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-1</a:t>
                </a:r>
                <a:r>
                  <a:rPr lang="en-GB" sz="14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 </a:t>
                </a:r>
                <a:endParaRPr lang="en-GB" sz="11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2844136774438435"/>
              <c:y val="0.908755049903085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mbria" panose="020405030504060302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+mn-ea"/>
                <a:cs typeface="+mn-cs"/>
              </a:defRPr>
            </a:pPr>
            <a:endParaRPr lang="en-US"/>
          </a:p>
        </c:txPr>
        <c:crossAx val="306278136"/>
        <c:crossesAt val="1.0000000000000007E-13"/>
        <c:crossBetween val="midCat"/>
        <c:majorUnit val="10"/>
      </c:valAx>
      <c:valAx>
        <c:axId val="306278136"/>
        <c:scaling>
          <c:logBase val="10"/>
          <c:orientation val="minMax"/>
          <c:max val="1.0000000000000005E-9"/>
          <c:min val="1.0000000000000007E-1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 sz="16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</a:t>
                </a:r>
                <a:r>
                  <a:rPr lang="en-GB" sz="1600" b="0" i="0" baseline="-2500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OAc</a:t>
                </a:r>
                <a:r>
                  <a:rPr lang="en-GB" sz="16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/ m²s </a:t>
                </a:r>
                <a:r>
                  <a:rPr lang="en-GB" sz="1600" b="0" i="0" baseline="3000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-1</a:t>
                </a:r>
                <a:endParaRPr lang="en-GB" sz="1600" i="0" baseline="300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1877188753197186E-2"/>
              <c:y val="0.27926204196071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+mn-ea"/>
                <a:cs typeface="+mn-cs"/>
              </a:defRPr>
            </a:pPr>
            <a:endParaRPr lang="en-US"/>
          </a:p>
        </c:txPr>
        <c:crossAx val="306277744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ayout>
        <c:manualLayout>
          <c:xMode val="edge"/>
          <c:yMode val="edge"/>
          <c:x val="0.78591914097674798"/>
          <c:y val="0.33389163236416536"/>
          <c:w val="0.13827782550089468"/>
          <c:h val="0.403187033980677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latin typeface="Cambria" panose="020405030504060302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78937007874017"/>
          <c:y val="5.0925925925925923E-2"/>
          <c:w val="0.83887729658792654"/>
          <c:h val="0.74350320793234181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'Ln (D) vs Temp to eta'!$G$51:$G$56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</c:numCache>
            </c:numRef>
          </c:xVal>
          <c:yVal>
            <c:numRef>
              <c:f>'Ln (D) vs Temp to eta'!$H$51:$H$56</c:f>
              <c:numCache>
                <c:formatCode>General</c:formatCode>
                <c:ptCount val="6"/>
                <c:pt idx="0">
                  <c:v>1.0101</c:v>
                </c:pt>
                <c:pt idx="1">
                  <c:v>1.01</c:v>
                </c:pt>
                <c:pt idx="2">
                  <c:v>0.84179999999999999</c:v>
                </c:pt>
                <c:pt idx="3">
                  <c:v>0.69230000000000003</c:v>
                </c:pt>
                <c:pt idx="4">
                  <c:v>0.70499999999999996</c:v>
                </c:pt>
                <c:pt idx="5">
                  <c:v>0.93689999999999996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96A-4298-B0DF-AF055BAB7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6278920"/>
        <c:axId val="306279312"/>
      </c:scatterChart>
      <c:valAx>
        <c:axId val="306278920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concentration,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279312"/>
        <c:crosses val="autoZero"/>
        <c:crossBetween val="midCat"/>
      </c:valAx>
      <c:valAx>
        <c:axId val="306279312"/>
        <c:scaling>
          <c:orientation val="minMax"/>
          <c:min val="0.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Gradient 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06080125400991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278920"/>
        <c:crosses val="autoZero"/>
        <c:crossBetween val="midCat"/>
        <c:majorUnit val="0.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70874934603021"/>
          <c:y val="4.0679915010623673E-2"/>
          <c:w val="0.79908692674361415"/>
          <c:h val="0.76711415171464237"/>
        </c:manualLayout>
      </c:layout>
      <c:scatterChart>
        <c:scatterStyle val="lineMarker"/>
        <c:varyColors val="0"/>
        <c:ser>
          <c:idx val="4"/>
          <c:order val="0"/>
          <c:tx>
            <c:v>15%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'Viscosity vs shear rate @40c '!$I$8:$I$28</c:f>
              <c:numCache>
                <c:formatCode>General</c:formatCode>
                <c:ptCount val="21"/>
                <c:pt idx="0">
                  <c:v>1</c:v>
                </c:pt>
                <c:pt idx="1">
                  <c:v>1.2589999999999999</c:v>
                </c:pt>
                <c:pt idx="2">
                  <c:v>1.585</c:v>
                </c:pt>
                <c:pt idx="3">
                  <c:v>1.9950000000000001</c:v>
                </c:pt>
                <c:pt idx="4">
                  <c:v>2.512</c:v>
                </c:pt>
                <c:pt idx="5">
                  <c:v>3.1619999999999999</c:v>
                </c:pt>
                <c:pt idx="6">
                  <c:v>3.9809999999999999</c:v>
                </c:pt>
                <c:pt idx="7">
                  <c:v>5.0119999999999996</c:v>
                </c:pt>
                <c:pt idx="8">
                  <c:v>6.31</c:v>
                </c:pt>
                <c:pt idx="9">
                  <c:v>7.944</c:v>
                </c:pt>
                <c:pt idx="10">
                  <c:v>10</c:v>
                </c:pt>
                <c:pt idx="11">
                  <c:v>12.59</c:v>
                </c:pt>
                <c:pt idx="12">
                  <c:v>15.85</c:v>
                </c:pt>
                <c:pt idx="13">
                  <c:v>19.95</c:v>
                </c:pt>
                <c:pt idx="14">
                  <c:v>25.12</c:v>
                </c:pt>
                <c:pt idx="15">
                  <c:v>31.62</c:v>
                </c:pt>
                <c:pt idx="16">
                  <c:v>39.81</c:v>
                </c:pt>
                <c:pt idx="17">
                  <c:v>50.12</c:v>
                </c:pt>
                <c:pt idx="18">
                  <c:v>63.1</c:v>
                </c:pt>
                <c:pt idx="19">
                  <c:v>79.44</c:v>
                </c:pt>
                <c:pt idx="20">
                  <c:v>100</c:v>
                </c:pt>
              </c:numCache>
            </c:numRef>
          </c:xVal>
          <c:yVal>
            <c:numRef>
              <c:f>'Viscosity vs shear rate @40c '!$J$8:$J$28</c:f>
              <c:numCache>
                <c:formatCode>General</c:formatCode>
                <c:ptCount val="21"/>
                <c:pt idx="0">
                  <c:v>6.4409999999999998</c:v>
                </c:pt>
                <c:pt idx="1">
                  <c:v>6.4283333333333337</c:v>
                </c:pt>
                <c:pt idx="2">
                  <c:v>6.4203333333333328</c:v>
                </c:pt>
                <c:pt idx="3">
                  <c:v>6.4083333333333341</c:v>
                </c:pt>
                <c:pt idx="4">
                  <c:v>6.3870000000000005</c:v>
                </c:pt>
                <c:pt idx="5">
                  <c:v>6.3709999999999996</c:v>
                </c:pt>
                <c:pt idx="6">
                  <c:v>6.3526666666666669</c:v>
                </c:pt>
                <c:pt idx="7">
                  <c:v>6.3306666666666667</c:v>
                </c:pt>
                <c:pt idx="8">
                  <c:v>6.3066666666666675</c:v>
                </c:pt>
                <c:pt idx="9">
                  <c:v>6.2833333333333323</c:v>
                </c:pt>
                <c:pt idx="10">
                  <c:v>6.2536666666666676</c:v>
                </c:pt>
                <c:pt idx="11">
                  <c:v>6.2206666666666663</c:v>
                </c:pt>
                <c:pt idx="12">
                  <c:v>6.1873333333333322</c:v>
                </c:pt>
                <c:pt idx="13">
                  <c:v>6.149</c:v>
                </c:pt>
                <c:pt idx="14">
                  <c:v>6.1066666666666665</c:v>
                </c:pt>
                <c:pt idx="15">
                  <c:v>6.057666666666667</c:v>
                </c:pt>
                <c:pt idx="16">
                  <c:v>6.0030000000000001</c:v>
                </c:pt>
                <c:pt idx="17">
                  <c:v>5.9420000000000002</c:v>
                </c:pt>
                <c:pt idx="18">
                  <c:v>5.8730000000000002</c:v>
                </c:pt>
                <c:pt idx="19">
                  <c:v>5.7950000000000008</c:v>
                </c:pt>
                <c:pt idx="20">
                  <c:v>5.7063333333333333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175-4FC6-BF41-0E59FC512F11}"/>
            </c:ext>
          </c:extLst>
        </c:ser>
        <c:ser>
          <c:idx val="3"/>
          <c:order val="1"/>
          <c:tx>
            <c:v>10%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75000"/>
                </a:schemeClr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xVal>
            <c:numRef>
              <c:f>'Viscosity vs shear rate @40c '!$G$8:$G$28</c:f>
              <c:numCache>
                <c:formatCode>General</c:formatCode>
                <c:ptCount val="21"/>
                <c:pt idx="0">
                  <c:v>1</c:v>
                </c:pt>
                <c:pt idx="1">
                  <c:v>1.2589999999999999</c:v>
                </c:pt>
                <c:pt idx="2">
                  <c:v>1.585</c:v>
                </c:pt>
                <c:pt idx="3">
                  <c:v>1.9950000000000001</c:v>
                </c:pt>
                <c:pt idx="4">
                  <c:v>2.512</c:v>
                </c:pt>
                <c:pt idx="5">
                  <c:v>3.1619999999999999</c:v>
                </c:pt>
                <c:pt idx="6">
                  <c:v>3.9809999999999999</c:v>
                </c:pt>
                <c:pt idx="7">
                  <c:v>5.0119999999999996</c:v>
                </c:pt>
                <c:pt idx="8">
                  <c:v>6.31</c:v>
                </c:pt>
                <c:pt idx="9">
                  <c:v>7.944</c:v>
                </c:pt>
                <c:pt idx="10">
                  <c:v>10</c:v>
                </c:pt>
                <c:pt idx="11">
                  <c:v>12.59</c:v>
                </c:pt>
                <c:pt idx="12">
                  <c:v>15.85</c:v>
                </c:pt>
                <c:pt idx="13">
                  <c:v>19.95</c:v>
                </c:pt>
                <c:pt idx="14">
                  <c:v>25.12</c:v>
                </c:pt>
                <c:pt idx="15">
                  <c:v>31.62</c:v>
                </c:pt>
                <c:pt idx="16">
                  <c:v>39.81</c:v>
                </c:pt>
                <c:pt idx="17">
                  <c:v>50.12</c:v>
                </c:pt>
                <c:pt idx="18">
                  <c:v>63.1</c:v>
                </c:pt>
                <c:pt idx="19">
                  <c:v>79.44</c:v>
                </c:pt>
                <c:pt idx="20">
                  <c:v>100</c:v>
                </c:pt>
              </c:numCache>
            </c:numRef>
          </c:xVal>
          <c:yVal>
            <c:numRef>
              <c:f>'Viscosity vs shear rate @40c '!$H$8:$H$28</c:f>
              <c:numCache>
                <c:formatCode>General</c:formatCode>
                <c:ptCount val="21"/>
                <c:pt idx="0">
                  <c:v>2.424666666666667</c:v>
                </c:pt>
                <c:pt idx="1">
                  <c:v>2.4300000000000002</c:v>
                </c:pt>
                <c:pt idx="2">
                  <c:v>2.4216666666666669</c:v>
                </c:pt>
                <c:pt idx="3">
                  <c:v>2.4213333333333331</c:v>
                </c:pt>
                <c:pt idx="4">
                  <c:v>2.4186666666666667</c:v>
                </c:pt>
                <c:pt idx="5">
                  <c:v>2.4176666666666669</c:v>
                </c:pt>
                <c:pt idx="6">
                  <c:v>2.4140000000000001</c:v>
                </c:pt>
                <c:pt idx="7">
                  <c:v>2.4106666666666663</c:v>
                </c:pt>
                <c:pt idx="8">
                  <c:v>2.4053333333333331</c:v>
                </c:pt>
                <c:pt idx="9">
                  <c:v>2.4010000000000002</c:v>
                </c:pt>
                <c:pt idx="10">
                  <c:v>2.3953333333333333</c:v>
                </c:pt>
                <c:pt idx="11">
                  <c:v>2.3893333333333331</c:v>
                </c:pt>
                <c:pt idx="12">
                  <c:v>2.3826666666666667</c:v>
                </c:pt>
                <c:pt idx="13">
                  <c:v>2.375666666666667</c:v>
                </c:pt>
                <c:pt idx="14">
                  <c:v>2.3673333333333333</c:v>
                </c:pt>
                <c:pt idx="15">
                  <c:v>2.3580000000000001</c:v>
                </c:pt>
                <c:pt idx="16">
                  <c:v>2.3473333333333333</c:v>
                </c:pt>
                <c:pt idx="17">
                  <c:v>2.3346666666666667</c:v>
                </c:pt>
                <c:pt idx="18">
                  <c:v>2.3203333333333336</c:v>
                </c:pt>
                <c:pt idx="19">
                  <c:v>2.3049999999999997</c:v>
                </c:pt>
                <c:pt idx="20">
                  <c:v>2.2873333333333332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175-4FC6-BF41-0E59FC512F11}"/>
            </c:ext>
          </c:extLst>
        </c:ser>
        <c:ser>
          <c:idx val="2"/>
          <c:order val="2"/>
          <c:tx>
            <c:v>5%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'Viscosity vs shear rate @40c '!$E$8:$E$28</c:f>
              <c:numCache>
                <c:formatCode>General</c:formatCode>
                <c:ptCount val="21"/>
                <c:pt idx="0">
                  <c:v>1</c:v>
                </c:pt>
                <c:pt idx="1">
                  <c:v>1.2589999999999999</c:v>
                </c:pt>
                <c:pt idx="2">
                  <c:v>1.585</c:v>
                </c:pt>
                <c:pt idx="3">
                  <c:v>1.9950000000000001</c:v>
                </c:pt>
                <c:pt idx="4">
                  <c:v>2.512</c:v>
                </c:pt>
                <c:pt idx="5">
                  <c:v>3.1619999999999999</c:v>
                </c:pt>
                <c:pt idx="6">
                  <c:v>3.9809999999999999</c:v>
                </c:pt>
                <c:pt idx="7">
                  <c:v>5.0119999999999996</c:v>
                </c:pt>
                <c:pt idx="8">
                  <c:v>6.31</c:v>
                </c:pt>
                <c:pt idx="9">
                  <c:v>7.944</c:v>
                </c:pt>
                <c:pt idx="10">
                  <c:v>10</c:v>
                </c:pt>
                <c:pt idx="11">
                  <c:v>12.59</c:v>
                </c:pt>
                <c:pt idx="12">
                  <c:v>15.85</c:v>
                </c:pt>
                <c:pt idx="13">
                  <c:v>19.95</c:v>
                </c:pt>
                <c:pt idx="14">
                  <c:v>25.12</c:v>
                </c:pt>
                <c:pt idx="15">
                  <c:v>31.62</c:v>
                </c:pt>
                <c:pt idx="16">
                  <c:v>39.81</c:v>
                </c:pt>
                <c:pt idx="17">
                  <c:v>50.12</c:v>
                </c:pt>
                <c:pt idx="18">
                  <c:v>63.1</c:v>
                </c:pt>
                <c:pt idx="19">
                  <c:v>79.44</c:v>
                </c:pt>
                <c:pt idx="20">
                  <c:v>100</c:v>
                </c:pt>
              </c:numCache>
            </c:numRef>
          </c:xVal>
          <c:yVal>
            <c:numRef>
              <c:f>'Viscosity vs shear rate @40c '!$F$8:$F$28</c:f>
              <c:numCache>
                <c:formatCode>General</c:formatCode>
                <c:ptCount val="21"/>
                <c:pt idx="0">
                  <c:v>0.47520000000000001</c:v>
                </c:pt>
                <c:pt idx="1">
                  <c:v>0.47456666666666664</c:v>
                </c:pt>
                <c:pt idx="2">
                  <c:v>0.47273333333333339</c:v>
                </c:pt>
                <c:pt idx="3">
                  <c:v>0.47449999999999998</c:v>
                </c:pt>
                <c:pt idx="4">
                  <c:v>0.47320000000000001</c:v>
                </c:pt>
                <c:pt idx="5">
                  <c:v>0.47403333333333331</c:v>
                </c:pt>
                <c:pt idx="6">
                  <c:v>0.47399999999999998</c:v>
                </c:pt>
                <c:pt idx="7">
                  <c:v>0.47370000000000001</c:v>
                </c:pt>
                <c:pt idx="8">
                  <c:v>0.4733</c:v>
                </c:pt>
                <c:pt idx="9">
                  <c:v>0.47333333333333333</c:v>
                </c:pt>
                <c:pt idx="10">
                  <c:v>0.47316666666666668</c:v>
                </c:pt>
                <c:pt idx="11">
                  <c:v>0.47290000000000004</c:v>
                </c:pt>
                <c:pt idx="12">
                  <c:v>0.47256666666666663</c:v>
                </c:pt>
                <c:pt idx="13">
                  <c:v>0.47223333333333334</c:v>
                </c:pt>
                <c:pt idx="14">
                  <c:v>0.47183333333333333</c:v>
                </c:pt>
                <c:pt idx="15">
                  <c:v>0.47136666666666666</c:v>
                </c:pt>
                <c:pt idx="16">
                  <c:v>0.47069999999999995</c:v>
                </c:pt>
                <c:pt idx="17">
                  <c:v>0.46986666666666665</c:v>
                </c:pt>
                <c:pt idx="18">
                  <c:v>0.46866666666666662</c:v>
                </c:pt>
                <c:pt idx="19">
                  <c:v>0.46710000000000002</c:v>
                </c:pt>
                <c:pt idx="20">
                  <c:v>0.46609999999999996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175-4FC6-BF41-0E59FC512F11}"/>
            </c:ext>
          </c:extLst>
        </c:ser>
        <c:ser>
          <c:idx val="1"/>
          <c:order val="3"/>
          <c:tx>
            <c:v>3%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10"/>
            <c:spPr>
              <a:noFill/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xVal>
            <c:numRef>
              <c:f>'Viscosity vs shear rate @40c '!$C$8:$C$28</c:f>
              <c:numCache>
                <c:formatCode>General</c:formatCode>
                <c:ptCount val="21"/>
                <c:pt idx="0">
                  <c:v>1</c:v>
                </c:pt>
                <c:pt idx="1">
                  <c:v>1.2589999999999999</c:v>
                </c:pt>
                <c:pt idx="2">
                  <c:v>1.585</c:v>
                </c:pt>
                <c:pt idx="3">
                  <c:v>1.9950000000000001</c:v>
                </c:pt>
                <c:pt idx="4">
                  <c:v>2.512</c:v>
                </c:pt>
                <c:pt idx="5">
                  <c:v>3.1619999999999999</c:v>
                </c:pt>
                <c:pt idx="6">
                  <c:v>3.9809999999999999</c:v>
                </c:pt>
                <c:pt idx="7">
                  <c:v>5.0119999999999996</c:v>
                </c:pt>
                <c:pt idx="8">
                  <c:v>6.31</c:v>
                </c:pt>
                <c:pt idx="9">
                  <c:v>7.944</c:v>
                </c:pt>
                <c:pt idx="10">
                  <c:v>10</c:v>
                </c:pt>
                <c:pt idx="11">
                  <c:v>12.59</c:v>
                </c:pt>
                <c:pt idx="12">
                  <c:v>15.85</c:v>
                </c:pt>
                <c:pt idx="13">
                  <c:v>19.95</c:v>
                </c:pt>
                <c:pt idx="14">
                  <c:v>25.12</c:v>
                </c:pt>
                <c:pt idx="15">
                  <c:v>31.62</c:v>
                </c:pt>
                <c:pt idx="16">
                  <c:v>39.81</c:v>
                </c:pt>
                <c:pt idx="17">
                  <c:v>50.12</c:v>
                </c:pt>
                <c:pt idx="18">
                  <c:v>63.1</c:v>
                </c:pt>
                <c:pt idx="19">
                  <c:v>79.44</c:v>
                </c:pt>
                <c:pt idx="20">
                  <c:v>100</c:v>
                </c:pt>
              </c:numCache>
            </c:numRef>
          </c:xVal>
          <c:yVal>
            <c:numRef>
              <c:f>'Viscosity vs shear rate @40c '!$D$8:$D$28</c:f>
              <c:numCache>
                <c:formatCode>General</c:formatCode>
                <c:ptCount val="21"/>
                <c:pt idx="0">
                  <c:v>0.21953333333333333</c:v>
                </c:pt>
                <c:pt idx="1">
                  <c:v>0.21870000000000001</c:v>
                </c:pt>
                <c:pt idx="2">
                  <c:v>0.21889999999999998</c:v>
                </c:pt>
                <c:pt idx="3">
                  <c:v>0.21956666666666666</c:v>
                </c:pt>
                <c:pt idx="4">
                  <c:v>0.21883333333333332</c:v>
                </c:pt>
                <c:pt idx="5">
                  <c:v>0.21906666666666666</c:v>
                </c:pt>
                <c:pt idx="6">
                  <c:v>0.21866666666666668</c:v>
                </c:pt>
                <c:pt idx="7">
                  <c:v>0.21873333333333334</c:v>
                </c:pt>
                <c:pt idx="8">
                  <c:v>0.21860000000000002</c:v>
                </c:pt>
                <c:pt idx="9">
                  <c:v>0.21860000000000002</c:v>
                </c:pt>
                <c:pt idx="10">
                  <c:v>0.21859999999999999</c:v>
                </c:pt>
                <c:pt idx="11">
                  <c:v>0.21853333333333333</c:v>
                </c:pt>
                <c:pt idx="12">
                  <c:v>0.21843333333333334</c:v>
                </c:pt>
                <c:pt idx="13">
                  <c:v>0.21836666666666668</c:v>
                </c:pt>
                <c:pt idx="14">
                  <c:v>0.21826666666666669</c:v>
                </c:pt>
                <c:pt idx="15">
                  <c:v>0.21816666666666665</c:v>
                </c:pt>
                <c:pt idx="16">
                  <c:v>0.21809999999999999</c:v>
                </c:pt>
                <c:pt idx="17">
                  <c:v>0.21796666666666667</c:v>
                </c:pt>
                <c:pt idx="18">
                  <c:v>0.21776666666666666</c:v>
                </c:pt>
                <c:pt idx="19">
                  <c:v>0.21740000000000004</c:v>
                </c:pt>
                <c:pt idx="20">
                  <c:v>0.21686666666666668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175-4FC6-BF41-0E59FC512F11}"/>
            </c:ext>
          </c:extLst>
        </c:ser>
        <c:ser>
          <c:idx val="0"/>
          <c:order val="4"/>
          <c:tx>
            <c:v>1%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x"/>
            <c:errBarType val="both"/>
            <c:errValType val="fixedVal"/>
            <c:noEndCap val="0"/>
            <c:val val="0.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'Viscosity vs shear rate @40c '!$A$8:$A$28</c:f>
              <c:numCache>
                <c:formatCode>General</c:formatCode>
                <c:ptCount val="21"/>
                <c:pt idx="0">
                  <c:v>1</c:v>
                </c:pt>
                <c:pt idx="1">
                  <c:v>1.2589999999999999</c:v>
                </c:pt>
                <c:pt idx="2">
                  <c:v>1.585</c:v>
                </c:pt>
                <c:pt idx="3">
                  <c:v>1.9950000000000001</c:v>
                </c:pt>
                <c:pt idx="4">
                  <c:v>2.512</c:v>
                </c:pt>
                <c:pt idx="5">
                  <c:v>3.1619999999999999</c:v>
                </c:pt>
                <c:pt idx="6">
                  <c:v>3.9809999999999999</c:v>
                </c:pt>
                <c:pt idx="7">
                  <c:v>5.0119999999999996</c:v>
                </c:pt>
                <c:pt idx="8">
                  <c:v>6.31</c:v>
                </c:pt>
                <c:pt idx="9">
                  <c:v>7.944</c:v>
                </c:pt>
                <c:pt idx="10">
                  <c:v>10</c:v>
                </c:pt>
                <c:pt idx="11">
                  <c:v>12.59</c:v>
                </c:pt>
                <c:pt idx="12">
                  <c:v>15.85</c:v>
                </c:pt>
                <c:pt idx="13">
                  <c:v>19.95</c:v>
                </c:pt>
                <c:pt idx="14">
                  <c:v>25.12</c:v>
                </c:pt>
                <c:pt idx="15">
                  <c:v>31.62</c:v>
                </c:pt>
                <c:pt idx="16">
                  <c:v>39.81</c:v>
                </c:pt>
                <c:pt idx="17">
                  <c:v>50.12</c:v>
                </c:pt>
                <c:pt idx="18">
                  <c:v>63.1</c:v>
                </c:pt>
                <c:pt idx="19">
                  <c:v>79.44</c:v>
                </c:pt>
                <c:pt idx="20">
                  <c:v>100</c:v>
                </c:pt>
              </c:numCache>
            </c:numRef>
          </c:xVal>
          <c:yVal>
            <c:numRef>
              <c:f>'Viscosity vs shear rate @40c '!$B$8:$B$28</c:f>
              <c:numCache>
                <c:formatCode>General</c:formatCode>
                <c:ptCount val="21"/>
                <c:pt idx="0">
                  <c:v>0.11053499999999999</c:v>
                </c:pt>
                <c:pt idx="1">
                  <c:v>0.11172000000000001</c:v>
                </c:pt>
                <c:pt idx="2">
                  <c:v>0.11097499999999999</c:v>
                </c:pt>
                <c:pt idx="3">
                  <c:v>0.11019749999999999</c:v>
                </c:pt>
                <c:pt idx="4">
                  <c:v>0.11058</c:v>
                </c:pt>
                <c:pt idx="5">
                  <c:v>0.11034999999999999</c:v>
                </c:pt>
                <c:pt idx="6">
                  <c:v>0.1100575</c:v>
                </c:pt>
                <c:pt idx="7">
                  <c:v>0.11005999999999999</c:v>
                </c:pt>
                <c:pt idx="8">
                  <c:v>0.11007</c:v>
                </c:pt>
                <c:pt idx="9">
                  <c:v>0.1100225</c:v>
                </c:pt>
                <c:pt idx="10">
                  <c:v>0.11003499999999999</c:v>
                </c:pt>
                <c:pt idx="11">
                  <c:v>0.11003499999999999</c:v>
                </c:pt>
                <c:pt idx="12">
                  <c:v>0.11001999999999999</c:v>
                </c:pt>
                <c:pt idx="13">
                  <c:v>0.110065</c:v>
                </c:pt>
                <c:pt idx="14">
                  <c:v>0.11008499999999999</c:v>
                </c:pt>
                <c:pt idx="15">
                  <c:v>0.1101075</c:v>
                </c:pt>
                <c:pt idx="16">
                  <c:v>0.110155</c:v>
                </c:pt>
                <c:pt idx="17">
                  <c:v>0.11013249999999999</c:v>
                </c:pt>
                <c:pt idx="18">
                  <c:v>0.11008499999999999</c:v>
                </c:pt>
                <c:pt idx="19">
                  <c:v>0.11007749999999999</c:v>
                </c:pt>
                <c:pt idx="20">
                  <c:v>0.11003250000000001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175-4FC6-BF41-0E59FC512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6280096"/>
        <c:axId val="306280488"/>
      </c:scatterChart>
      <c:valAx>
        <c:axId val="306280096"/>
        <c:scaling>
          <c:logBase val="10"/>
          <c:orientation val="minMax"/>
          <c:min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mbria" panose="02040503050406030204" pitchFamily="18" charset="0"/>
                    <a:ea typeface="+mn-ea"/>
                    <a:cs typeface="+mn-cs"/>
                  </a:defRPr>
                </a:pPr>
                <a:r>
                  <a:rPr lang="en-GB" sz="1400" b="1">
                    <a:latin typeface="Cambria" panose="02040503050406030204" pitchFamily="18" charset="0"/>
                  </a:rPr>
                  <a:t>Shear rate/</a:t>
                </a:r>
                <a:r>
                  <a:rPr lang="en-GB" sz="1400" b="1" baseline="0">
                    <a:latin typeface="Cambria" panose="02040503050406030204" pitchFamily="18" charset="0"/>
                  </a:rPr>
                  <a:t> </a:t>
                </a:r>
                <a:r>
                  <a:rPr lang="en-GB" sz="1400" b="1">
                    <a:latin typeface="Cambria" panose="02040503050406030204" pitchFamily="18" charset="0"/>
                  </a:rPr>
                  <a:t>s </a:t>
                </a:r>
                <a:r>
                  <a:rPr lang="en-GB" sz="1400" b="1">
                    <a:latin typeface="Cambria" panose="02040503050406030204" pitchFamily="18" charset="0"/>
                    <a:cs typeface="Times New Roman" panose="02020603050405020304" pitchFamily="18" charset="0"/>
                  </a:rPr>
                  <a:t>̄ ¹</a:t>
                </a:r>
                <a:endParaRPr lang="en-GB" sz="1400" b="1">
                  <a:latin typeface="Cambria" panose="02040503050406030204" pitchFamily="18" charset="0"/>
                </a:endParaRPr>
              </a:p>
            </c:rich>
          </c:tx>
          <c:layout>
            <c:manualLayout>
              <c:xMode val="edge"/>
              <c:yMode val="edge"/>
              <c:x val="0.43164278720851662"/>
              <c:y val="0.903762603445061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mbria" panose="020405030504060302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+mn-ea"/>
                <a:cs typeface="+mn-cs"/>
              </a:defRPr>
            </a:pPr>
            <a:endParaRPr lang="en-US"/>
          </a:p>
        </c:txPr>
        <c:crossAx val="306280488"/>
        <c:crossesAt val="1.0000000000000002E-2"/>
        <c:crossBetween val="midCat"/>
      </c:valAx>
      <c:valAx>
        <c:axId val="306280488"/>
        <c:scaling>
          <c:logBase val="10"/>
          <c:orientation val="minMax"/>
          <c:max val="100"/>
          <c:min val="1.0000000000000002E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mbria" panose="02040503050406030204" pitchFamily="18" charset="0"/>
                    <a:ea typeface="+mn-ea"/>
                    <a:cs typeface="+mn-cs"/>
                  </a:defRPr>
                </a:pPr>
                <a:r>
                  <a:rPr lang="el-GR" sz="1400" b="1" i="0" baseline="0">
                    <a:effectLst/>
                    <a:latin typeface="Cambria" panose="02040503050406030204" pitchFamily="18" charset="0"/>
                  </a:rPr>
                  <a:t>η˳</a:t>
                </a:r>
                <a:r>
                  <a:rPr lang="en-GB" sz="1400" b="1" i="0" baseline="0">
                    <a:effectLst/>
                    <a:latin typeface="Cambria" panose="02040503050406030204" pitchFamily="18" charset="0"/>
                  </a:rPr>
                  <a:t> /pa.s</a:t>
                </a:r>
                <a:endParaRPr lang="en-GB" sz="1400" b="1">
                  <a:effectLst/>
                  <a:latin typeface="Cambria" panose="02040503050406030204" pitchFamily="18" charset="0"/>
                </a:endParaRPr>
              </a:p>
            </c:rich>
          </c:tx>
          <c:layout>
            <c:manualLayout>
              <c:xMode val="edge"/>
              <c:yMode val="edge"/>
              <c:x val="1.0963498214211841E-2"/>
              <c:y val="0.32899531001247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mbria" panose="020405030504060302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+mn-ea"/>
                <a:cs typeface="+mn-cs"/>
              </a:defRPr>
            </a:pPr>
            <a:endParaRPr lang="en-US"/>
          </a:p>
        </c:txPr>
        <c:crossAx val="306280096"/>
        <c:crossesAt val="0.1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2457033063511544"/>
          <c:y val="0.23608192418570628"/>
          <c:w val="0.14718819748528941"/>
          <c:h val="0.402960254968128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90617008897826"/>
          <c:y val="3.1300222087623661E-2"/>
          <c:w val="0.78213458440134953"/>
          <c:h val="0.79959505061867253"/>
        </c:manualLayout>
      </c:layout>
      <c:scatterChart>
        <c:scatterStyle val="lineMarker"/>
        <c:varyColors val="0"/>
        <c:ser>
          <c:idx val="4"/>
          <c:order val="0"/>
          <c:tx>
            <c:v>15%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'Viscosity vs shear rate @40c '!$A$34:$A$68</c:f>
              <c:numCache>
                <c:formatCode>General</c:formatCode>
                <c:ptCount val="35"/>
                <c:pt idx="0">
                  <c:v>0.1</c:v>
                </c:pt>
                <c:pt idx="1">
                  <c:v>0.12590000000000001</c:v>
                </c:pt>
                <c:pt idx="2">
                  <c:v>0.1585</c:v>
                </c:pt>
                <c:pt idx="3">
                  <c:v>0.19950000000000001</c:v>
                </c:pt>
                <c:pt idx="4">
                  <c:v>0.25119999999999998</c:v>
                </c:pt>
                <c:pt idx="5">
                  <c:v>0.31630000000000003</c:v>
                </c:pt>
                <c:pt idx="6">
                  <c:v>0.39810000000000001</c:v>
                </c:pt>
                <c:pt idx="7">
                  <c:v>0.50119999999999998</c:v>
                </c:pt>
                <c:pt idx="8">
                  <c:v>0.63100000000000001</c:v>
                </c:pt>
                <c:pt idx="9">
                  <c:v>0.7944</c:v>
                </c:pt>
                <c:pt idx="10">
                  <c:v>1</c:v>
                </c:pt>
                <c:pt idx="11">
                  <c:v>1.2589999999999999</c:v>
                </c:pt>
                <c:pt idx="12">
                  <c:v>1.585</c:v>
                </c:pt>
                <c:pt idx="13">
                  <c:v>1.9950000000000001</c:v>
                </c:pt>
                <c:pt idx="14">
                  <c:v>2.512</c:v>
                </c:pt>
                <c:pt idx="15">
                  <c:v>3.1619999999999999</c:v>
                </c:pt>
                <c:pt idx="16">
                  <c:v>3.9809999999999999</c:v>
                </c:pt>
                <c:pt idx="17">
                  <c:v>5.0119999999999996</c:v>
                </c:pt>
                <c:pt idx="18">
                  <c:v>6.31</c:v>
                </c:pt>
                <c:pt idx="19">
                  <c:v>7.944</c:v>
                </c:pt>
                <c:pt idx="20">
                  <c:v>10</c:v>
                </c:pt>
                <c:pt idx="21">
                  <c:v>12.59</c:v>
                </c:pt>
                <c:pt idx="22">
                  <c:v>15.85</c:v>
                </c:pt>
                <c:pt idx="23">
                  <c:v>19.95</c:v>
                </c:pt>
                <c:pt idx="24">
                  <c:v>25.12</c:v>
                </c:pt>
                <c:pt idx="25">
                  <c:v>31.62</c:v>
                </c:pt>
                <c:pt idx="26">
                  <c:v>39.81</c:v>
                </c:pt>
                <c:pt idx="27">
                  <c:v>50.12</c:v>
                </c:pt>
                <c:pt idx="28">
                  <c:v>63.1</c:v>
                </c:pt>
                <c:pt idx="29">
                  <c:v>79.44</c:v>
                </c:pt>
                <c:pt idx="30">
                  <c:v>100</c:v>
                </c:pt>
                <c:pt idx="31">
                  <c:v>125.9</c:v>
                </c:pt>
                <c:pt idx="32">
                  <c:v>158.5</c:v>
                </c:pt>
                <c:pt idx="33">
                  <c:v>199.5</c:v>
                </c:pt>
                <c:pt idx="34">
                  <c:v>200</c:v>
                </c:pt>
              </c:numCache>
            </c:numRef>
          </c:xVal>
          <c:yVal>
            <c:numRef>
              <c:f>'Viscosity vs shear rate @40c '!$F$34:$F$68</c:f>
              <c:numCache>
                <c:formatCode>General</c:formatCode>
                <c:ptCount val="35"/>
                <c:pt idx="0">
                  <c:v>6.4980000000000002</c:v>
                </c:pt>
                <c:pt idx="1">
                  <c:v>6.4943333333333335</c:v>
                </c:pt>
                <c:pt idx="2">
                  <c:v>6.4936666666666669</c:v>
                </c:pt>
                <c:pt idx="3">
                  <c:v>6.4916666666666671</c:v>
                </c:pt>
                <c:pt idx="4">
                  <c:v>6.4876666666666667</c:v>
                </c:pt>
                <c:pt idx="5">
                  <c:v>6.4819999999999993</c:v>
                </c:pt>
                <c:pt idx="6">
                  <c:v>6.4746666666666668</c:v>
                </c:pt>
                <c:pt idx="7">
                  <c:v>6.4683333333333337</c:v>
                </c:pt>
                <c:pt idx="8">
                  <c:v>6.4630000000000001</c:v>
                </c:pt>
                <c:pt idx="9">
                  <c:v>6.4533333333333331</c:v>
                </c:pt>
                <c:pt idx="10">
                  <c:v>6.4409999999999998</c:v>
                </c:pt>
                <c:pt idx="11">
                  <c:v>6.4283333333333337</c:v>
                </c:pt>
                <c:pt idx="12">
                  <c:v>6.4203333333333328</c:v>
                </c:pt>
                <c:pt idx="13">
                  <c:v>6.4083333333333341</c:v>
                </c:pt>
                <c:pt idx="14">
                  <c:v>6.3870000000000005</c:v>
                </c:pt>
                <c:pt idx="15">
                  <c:v>6.3709999999999996</c:v>
                </c:pt>
                <c:pt idx="16">
                  <c:v>6.3526666666666669</c:v>
                </c:pt>
                <c:pt idx="17">
                  <c:v>6.3306666666666667</c:v>
                </c:pt>
                <c:pt idx="18">
                  <c:v>6.3066666666666675</c:v>
                </c:pt>
                <c:pt idx="19">
                  <c:v>6.2833333333333323</c:v>
                </c:pt>
                <c:pt idx="20">
                  <c:v>6.2536666666666676</c:v>
                </c:pt>
                <c:pt idx="21">
                  <c:v>6.2206666666666663</c:v>
                </c:pt>
                <c:pt idx="22">
                  <c:v>6.1873333333333322</c:v>
                </c:pt>
                <c:pt idx="23">
                  <c:v>6.149</c:v>
                </c:pt>
                <c:pt idx="24">
                  <c:v>6.1066666666666665</c:v>
                </c:pt>
                <c:pt idx="25">
                  <c:v>6.057666666666667</c:v>
                </c:pt>
                <c:pt idx="26">
                  <c:v>6.0030000000000001</c:v>
                </c:pt>
                <c:pt idx="27">
                  <c:v>5.9420000000000002</c:v>
                </c:pt>
                <c:pt idx="28">
                  <c:v>5.8730000000000002</c:v>
                </c:pt>
                <c:pt idx="29">
                  <c:v>5.7950000000000008</c:v>
                </c:pt>
                <c:pt idx="30">
                  <c:v>5.7063333333333333</c:v>
                </c:pt>
                <c:pt idx="31">
                  <c:v>5.6046666666666667</c:v>
                </c:pt>
                <c:pt idx="32">
                  <c:v>5.4906666666666668</c:v>
                </c:pt>
                <c:pt idx="33">
                  <c:v>5.3569999999999993</c:v>
                </c:pt>
                <c:pt idx="34">
                  <c:v>5.2903333333333338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118-402C-B068-81B464184D4A}"/>
            </c:ext>
          </c:extLst>
        </c:ser>
        <c:ser>
          <c:idx val="3"/>
          <c:order val="1"/>
          <c:tx>
            <c:v>10%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'Viscosity vs shear rate @40c '!$A$34:$A$68</c:f>
              <c:numCache>
                <c:formatCode>General</c:formatCode>
                <c:ptCount val="35"/>
                <c:pt idx="0">
                  <c:v>0.1</c:v>
                </c:pt>
                <c:pt idx="1">
                  <c:v>0.12590000000000001</c:v>
                </c:pt>
                <c:pt idx="2">
                  <c:v>0.1585</c:v>
                </c:pt>
                <c:pt idx="3">
                  <c:v>0.19950000000000001</c:v>
                </c:pt>
                <c:pt idx="4">
                  <c:v>0.25119999999999998</c:v>
                </c:pt>
                <c:pt idx="5">
                  <c:v>0.31630000000000003</c:v>
                </c:pt>
                <c:pt idx="6">
                  <c:v>0.39810000000000001</c:v>
                </c:pt>
                <c:pt idx="7">
                  <c:v>0.50119999999999998</c:v>
                </c:pt>
                <c:pt idx="8">
                  <c:v>0.63100000000000001</c:v>
                </c:pt>
                <c:pt idx="9">
                  <c:v>0.7944</c:v>
                </c:pt>
                <c:pt idx="10">
                  <c:v>1</c:v>
                </c:pt>
                <c:pt idx="11">
                  <c:v>1.2589999999999999</c:v>
                </c:pt>
                <c:pt idx="12">
                  <c:v>1.585</c:v>
                </c:pt>
                <c:pt idx="13">
                  <c:v>1.9950000000000001</c:v>
                </c:pt>
                <c:pt idx="14">
                  <c:v>2.512</c:v>
                </c:pt>
                <c:pt idx="15">
                  <c:v>3.1619999999999999</c:v>
                </c:pt>
                <c:pt idx="16">
                  <c:v>3.9809999999999999</c:v>
                </c:pt>
                <c:pt idx="17">
                  <c:v>5.0119999999999996</c:v>
                </c:pt>
                <c:pt idx="18">
                  <c:v>6.31</c:v>
                </c:pt>
                <c:pt idx="19">
                  <c:v>7.944</c:v>
                </c:pt>
                <c:pt idx="20">
                  <c:v>10</c:v>
                </c:pt>
                <c:pt idx="21">
                  <c:v>12.59</c:v>
                </c:pt>
                <c:pt idx="22">
                  <c:v>15.85</c:v>
                </c:pt>
                <c:pt idx="23">
                  <c:v>19.95</c:v>
                </c:pt>
                <c:pt idx="24">
                  <c:v>25.12</c:v>
                </c:pt>
                <c:pt idx="25">
                  <c:v>31.62</c:v>
                </c:pt>
                <c:pt idx="26">
                  <c:v>39.81</c:v>
                </c:pt>
                <c:pt idx="27">
                  <c:v>50.12</c:v>
                </c:pt>
                <c:pt idx="28">
                  <c:v>63.1</c:v>
                </c:pt>
                <c:pt idx="29">
                  <c:v>79.44</c:v>
                </c:pt>
                <c:pt idx="30">
                  <c:v>100</c:v>
                </c:pt>
                <c:pt idx="31">
                  <c:v>125.9</c:v>
                </c:pt>
                <c:pt idx="32">
                  <c:v>158.5</c:v>
                </c:pt>
                <c:pt idx="33">
                  <c:v>199.5</c:v>
                </c:pt>
                <c:pt idx="34">
                  <c:v>200</c:v>
                </c:pt>
              </c:numCache>
            </c:numRef>
          </c:xVal>
          <c:yVal>
            <c:numRef>
              <c:f>'Viscosity vs shear rate @40c '!$E$34:$E$68</c:f>
              <c:numCache>
                <c:formatCode>General</c:formatCode>
                <c:ptCount val="35"/>
                <c:pt idx="0">
                  <c:v>2.4580000000000002</c:v>
                </c:pt>
                <c:pt idx="1">
                  <c:v>2.4606666666666666</c:v>
                </c:pt>
                <c:pt idx="2">
                  <c:v>2.464</c:v>
                </c:pt>
                <c:pt idx="3">
                  <c:v>2.4656666666666669</c:v>
                </c:pt>
                <c:pt idx="4">
                  <c:v>2.4636666666666667</c:v>
                </c:pt>
                <c:pt idx="5">
                  <c:v>2.4590000000000001</c:v>
                </c:pt>
                <c:pt idx="6">
                  <c:v>2.4499999999999997</c:v>
                </c:pt>
                <c:pt idx="7">
                  <c:v>2.4353333333333329</c:v>
                </c:pt>
                <c:pt idx="8">
                  <c:v>2.4236666666666666</c:v>
                </c:pt>
                <c:pt idx="9">
                  <c:v>2.4210000000000003</c:v>
                </c:pt>
                <c:pt idx="10">
                  <c:v>2.424666666666667</c:v>
                </c:pt>
                <c:pt idx="11">
                  <c:v>2.4300000000000002</c:v>
                </c:pt>
                <c:pt idx="12">
                  <c:v>2.4216666666666669</c:v>
                </c:pt>
                <c:pt idx="13">
                  <c:v>2.4213333333333331</c:v>
                </c:pt>
                <c:pt idx="14">
                  <c:v>2.4186666666666667</c:v>
                </c:pt>
                <c:pt idx="15">
                  <c:v>2.4176666666666669</c:v>
                </c:pt>
                <c:pt idx="16">
                  <c:v>2.4140000000000001</c:v>
                </c:pt>
                <c:pt idx="17">
                  <c:v>2.4106666666666663</c:v>
                </c:pt>
                <c:pt idx="18">
                  <c:v>2.4053333333333331</c:v>
                </c:pt>
                <c:pt idx="19">
                  <c:v>2.4010000000000002</c:v>
                </c:pt>
                <c:pt idx="20">
                  <c:v>2.3953333333333333</c:v>
                </c:pt>
                <c:pt idx="21">
                  <c:v>2.3893333333333331</c:v>
                </c:pt>
                <c:pt idx="22">
                  <c:v>2.3826666666666667</c:v>
                </c:pt>
                <c:pt idx="23">
                  <c:v>2.375666666666667</c:v>
                </c:pt>
                <c:pt idx="24">
                  <c:v>2.3673333333333333</c:v>
                </c:pt>
                <c:pt idx="25">
                  <c:v>2.3580000000000001</c:v>
                </c:pt>
                <c:pt idx="26">
                  <c:v>2.3473333333333333</c:v>
                </c:pt>
                <c:pt idx="27">
                  <c:v>2.3346666666666667</c:v>
                </c:pt>
                <c:pt idx="28">
                  <c:v>2.3203333333333336</c:v>
                </c:pt>
                <c:pt idx="29">
                  <c:v>2.3049999999999997</c:v>
                </c:pt>
                <c:pt idx="30">
                  <c:v>2.2873333333333332</c:v>
                </c:pt>
                <c:pt idx="31">
                  <c:v>2.2669999999999999</c:v>
                </c:pt>
                <c:pt idx="32">
                  <c:v>2.2450000000000001</c:v>
                </c:pt>
                <c:pt idx="33">
                  <c:v>2.218</c:v>
                </c:pt>
                <c:pt idx="34">
                  <c:v>2.2133333333333334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18-402C-B068-81B464184D4A}"/>
            </c:ext>
          </c:extLst>
        </c:ser>
        <c:ser>
          <c:idx val="2"/>
          <c:order val="2"/>
          <c:tx>
            <c:v>5%</c:v>
          </c:tx>
          <c:spPr>
            <a:ln w="19050" cap="rnd">
              <a:noFill/>
              <a:round/>
            </a:ln>
            <a:effectLst/>
          </c:spPr>
          <c:marker>
            <c:symbol val="star"/>
            <c:size val="8"/>
            <c:spPr>
              <a:noFill/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'Viscosity vs shear rate @40c '!$A$34:$A$68</c:f>
              <c:numCache>
                <c:formatCode>General</c:formatCode>
                <c:ptCount val="35"/>
                <c:pt idx="0">
                  <c:v>0.1</c:v>
                </c:pt>
                <c:pt idx="1">
                  <c:v>0.12590000000000001</c:v>
                </c:pt>
                <c:pt idx="2">
                  <c:v>0.1585</c:v>
                </c:pt>
                <c:pt idx="3">
                  <c:v>0.19950000000000001</c:v>
                </c:pt>
                <c:pt idx="4">
                  <c:v>0.25119999999999998</c:v>
                </c:pt>
                <c:pt idx="5">
                  <c:v>0.31630000000000003</c:v>
                </c:pt>
                <c:pt idx="6">
                  <c:v>0.39810000000000001</c:v>
                </c:pt>
                <c:pt idx="7">
                  <c:v>0.50119999999999998</c:v>
                </c:pt>
                <c:pt idx="8">
                  <c:v>0.63100000000000001</c:v>
                </c:pt>
                <c:pt idx="9">
                  <c:v>0.7944</c:v>
                </c:pt>
                <c:pt idx="10">
                  <c:v>1</c:v>
                </c:pt>
                <c:pt idx="11">
                  <c:v>1.2589999999999999</c:v>
                </c:pt>
                <c:pt idx="12">
                  <c:v>1.585</c:v>
                </c:pt>
                <c:pt idx="13">
                  <c:v>1.9950000000000001</c:v>
                </c:pt>
                <c:pt idx="14">
                  <c:v>2.512</c:v>
                </c:pt>
                <c:pt idx="15">
                  <c:v>3.1619999999999999</c:v>
                </c:pt>
                <c:pt idx="16">
                  <c:v>3.9809999999999999</c:v>
                </c:pt>
                <c:pt idx="17">
                  <c:v>5.0119999999999996</c:v>
                </c:pt>
                <c:pt idx="18">
                  <c:v>6.31</c:v>
                </c:pt>
                <c:pt idx="19">
                  <c:v>7.944</c:v>
                </c:pt>
                <c:pt idx="20">
                  <c:v>10</c:v>
                </c:pt>
                <c:pt idx="21">
                  <c:v>12.59</c:v>
                </c:pt>
                <c:pt idx="22">
                  <c:v>15.85</c:v>
                </c:pt>
                <c:pt idx="23">
                  <c:v>19.95</c:v>
                </c:pt>
                <c:pt idx="24">
                  <c:v>25.12</c:v>
                </c:pt>
                <c:pt idx="25">
                  <c:v>31.62</c:v>
                </c:pt>
                <c:pt idx="26">
                  <c:v>39.81</c:v>
                </c:pt>
                <c:pt idx="27">
                  <c:v>50.12</c:v>
                </c:pt>
                <c:pt idx="28">
                  <c:v>63.1</c:v>
                </c:pt>
                <c:pt idx="29">
                  <c:v>79.44</c:v>
                </c:pt>
                <c:pt idx="30">
                  <c:v>100</c:v>
                </c:pt>
                <c:pt idx="31">
                  <c:v>125.9</c:v>
                </c:pt>
                <c:pt idx="32">
                  <c:v>158.5</c:v>
                </c:pt>
                <c:pt idx="33">
                  <c:v>199.5</c:v>
                </c:pt>
                <c:pt idx="34">
                  <c:v>200</c:v>
                </c:pt>
              </c:numCache>
            </c:numRef>
          </c:xVal>
          <c:yVal>
            <c:numRef>
              <c:f>'Viscosity vs shear rate @40c '!$D$34:$D$68</c:f>
              <c:numCache>
                <c:formatCode>General</c:formatCode>
                <c:ptCount val="35"/>
                <c:pt idx="0">
                  <c:v>0.48849999999999999</c:v>
                </c:pt>
                <c:pt idx="1">
                  <c:v>0.4839</c:v>
                </c:pt>
                <c:pt idx="2">
                  <c:v>0.48469999999999996</c:v>
                </c:pt>
                <c:pt idx="3">
                  <c:v>0.4821333333333333</c:v>
                </c:pt>
                <c:pt idx="4">
                  <c:v>0.47976666666666667</c:v>
                </c:pt>
                <c:pt idx="5">
                  <c:v>0.47749999999999998</c:v>
                </c:pt>
                <c:pt idx="6">
                  <c:v>0.47489999999999993</c:v>
                </c:pt>
                <c:pt idx="7">
                  <c:v>0.47160000000000002</c:v>
                </c:pt>
                <c:pt idx="8">
                  <c:v>0.47143333333333332</c:v>
                </c:pt>
                <c:pt idx="9">
                  <c:v>0.4738</c:v>
                </c:pt>
                <c:pt idx="10">
                  <c:v>0.47520000000000001</c:v>
                </c:pt>
                <c:pt idx="11">
                  <c:v>0.47456666666666664</c:v>
                </c:pt>
                <c:pt idx="12">
                  <c:v>0.47273333333333339</c:v>
                </c:pt>
                <c:pt idx="13">
                  <c:v>0.47449999999999998</c:v>
                </c:pt>
                <c:pt idx="14">
                  <c:v>0.47320000000000001</c:v>
                </c:pt>
                <c:pt idx="15">
                  <c:v>0.47403333333333331</c:v>
                </c:pt>
                <c:pt idx="16">
                  <c:v>0.47399999999999998</c:v>
                </c:pt>
                <c:pt idx="17">
                  <c:v>0.47370000000000001</c:v>
                </c:pt>
                <c:pt idx="18">
                  <c:v>0.4733</c:v>
                </c:pt>
                <c:pt idx="19">
                  <c:v>0.47333333333333333</c:v>
                </c:pt>
                <c:pt idx="20">
                  <c:v>0.47316666666666668</c:v>
                </c:pt>
                <c:pt idx="21">
                  <c:v>0.47290000000000004</c:v>
                </c:pt>
                <c:pt idx="22">
                  <c:v>0.47256666666666663</c:v>
                </c:pt>
                <c:pt idx="23">
                  <c:v>0.47223333333333334</c:v>
                </c:pt>
                <c:pt idx="24">
                  <c:v>0.47183333333333333</c:v>
                </c:pt>
                <c:pt idx="25">
                  <c:v>0.47136666666666666</c:v>
                </c:pt>
                <c:pt idx="26">
                  <c:v>0.47069999999999995</c:v>
                </c:pt>
                <c:pt idx="27">
                  <c:v>0.46986666666666665</c:v>
                </c:pt>
                <c:pt idx="28">
                  <c:v>0.46866666666666662</c:v>
                </c:pt>
                <c:pt idx="29">
                  <c:v>0.46710000000000002</c:v>
                </c:pt>
                <c:pt idx="30">
                  <c:v>0.46609999999999996</c:v>
                </c:pt>
                <c:pt idx="31">
                  <c:v>0.46193333333333331</c:v>
                </c:pt>
                <c:pt idx="32">
                  <c:v>0.45933333333333337</c:v>
                </c:pt>
                <c:pt idx="33">
                  <c:v>0.45789999999999997</c:v>
                </c:pt>
                <c:pt idx="34">
                  <c:v>0.45689999999999992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118-402C-B068-81B464184D4A}"/>
            </c:ext>
          </c:extLst>
        </c:ser>
        <c:ser>
          <c:idx val="1"/>
          <c:order val="3"/>
          <c:tx>
            <c:v>3%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'Viscosity vs shear rate @40c '!$A$34:$A$68</c:f>
              <c:numCache>
                <c:formatCode>General</c:formatCode>
                <c:ptCount val="35"/>
                <c:pt idx="0">
                  <c:v>0.1</c:v>
                </c:pt>
                <c:pt idx="1">
                  <c:v>0.12590000000000001</c:v>
                </c:pt>
                <c:pt idx="2">
                  <c:v>0.1585</c:v>
                </c:pt>
                <c:pt idx="3">
                  <c:v>0.19950000000000001</c:v>
                </c:pt>
                <c:pt idx="4">
                  <c:v>0.25119999999999998</c:v>
                </c:pt>
                <c:pt idx="5">
                  <c:v>0.31630000000000003</c:v>
                </c:pt>
                <c:pt idx="6">
                  <c:v>0.39810000000000001</c:v>
                </c:pt>
                <c:pt idx="7">
                  <c:v>0.50119999999999998</c:v>
                </c:pt>
                <c:pt idx="8">
                  <c:v>0.63100000000000001</c:v>
                </c:pt>
                <c:pt idx="9">
                  <c:v>0.7944</c:v>
                </c:pt>
                <c:pt idx="10">
                  <c:v>1</c:v>
                </c:pt>
                <c:pt idx="11">
                  <c:v>1.2589999999999999</c:v>
                </c:pt>
                <c:pt idx="12">
                  <c:v>1.585</c:v>
                </c:pt>
                <c:pt idx="13">
                  <c:v>1.9950000000000001</c:v>
                </c:pt>
                <c:pt idx="14">
                  <c:v>2.512</c:v>
                </c:pt>
                <c:pt idx="15">
                  <c:v>3.1619999999999999</c:v>
                </c:pt>
                <c:pt idx="16">
                  <c:v>3.9809999999999999</c:v>
                </c:pt>
                <c:pt idx="17">
                  <c:v>5.0119999999999996</c:v>
                </c:pt>
                <c:pt idx="18">
                  <c:v>6.31</c:v>
                </c:pt>
                <c:pt idx="19">
                  <c:v>7.944</c:v>
                </c:pt>
                <c:pt idx="20">
                  <c:v>10</c:v>
                </c:pt>
                <c:pt idx="21">
                  <c:v>12.59</c:v>
                </c:pt>
                <c:pt idx="22">
                  <c:v>15.85</c:v>
                </c:pt>
                <c:pt idx="23">
                  <c:v>19.95</c:v>
                </c:pt>
                <c:pt idx="24">
                  <c:v>25.12</c:v>
                </c:pt>
                <c:pt idx="25">
                  <c:v>31.62</c:v>
                </c:pt>
                <c:pt idx="26">
                  <c:v>39.81</c:v>
                </c:pt>
                <c:pt idx="27">
                  <c:v>50.12</c:v>
                </c:pt>
                <c:pt idx="28">
                  <c:v>63.1</c:v>
                </c:pt>
                <c:pt idx="29">
                  <c:v>79.44</c:v>
                </c:pt>
                <c:pt idx="30">
                  <c:v>100</c:v>
                </c:pt>
                <c:pt idx="31">
                  <c:v>125.9</c:v>
                </c:pt>
                <c:pt idx="32">
                  <c:v>158.5</c:v>
                </c:pt>
                <c:pt idx="33">
                  <c:v>199.5</c:v>
                </c:pt>
                <c:pt idx="34">
                  <c:v>200</c:v>
                </c:pt>
              </c:numCache>
            </c:numRef>
          </c:xVal>
          <c:yVal>
            <c:numRef>
              <c:f>'Viscosity vs shear rate @40c '!$C$34:$C$68</c:f>
              <c:numCache>
                <c:formatCode>General</c:formatCode>
                <c:ptCount val="35"/>
                <c:pt idx="0">
                  <c:v>0.22186666666666668</c:v>
                </c:pt>
                <c:pt idx="1">
                  <c:v>0.21876666666666666</c:v>
                </c:pt>
                <c:pt idx="2">
                  <c:v>0.21833333333333335</c:v>
                </c:pt>
                <c:pt idx="3">
                  <c:v>0.219</c:v>
                </c:pt>
                <c:pt idx="4">
                  <c:v>0.21870000000000001</c:v>
                </c:pt>
                <c:pt idx="5">
                  <c:v>0.21953333333333336</c:v>
                </c:pt>
                <c:pt idx="6">
                  <c:v>0.21960000000000002</c:v>
                </c:pt>
                <c:pt idx="7">
                  <c:v>0.21893333333333331</c:v>
                </c:pt>
                <c:pt idx="8">
                  <c:v>0.21936666666666668</c:v>
                </c:pt>
                <c:pt idx="9">
                  <c:v>0.22040000000000001</c:v>
                </c:pt>
                <c:pt idx="10">
                  <c:v>0.21953333333333333</c:v>
                </c:pt>
                <c:pt idx="11">
                  <c:v>0.21870000000000001</c:v>
                </c:pt>
                <c:pt idx="12">
                  <c:v>0.21889999999999998</c:v>
                </c:pt>
                <c:pt idx="13">
                  <c:v>0.21956666666666666</c:v>
                </c:pt>
                <c:pt idx="14">
                  <c:v>0.21883333333333332</c:v>
                </c:pt>
                <c:pt idx="15">
                  <c:v>0.21906666666666666</c:v>
                </c:pt>
                <c:pt idx="16">
                  <c:v>0.21866666666666668</c:v>
                </c:pt>
                <c:pt idx="17">
                  <c:v>0.21873333333333334</c:v>
                </c:pt>
                <c:pt idx="18">
                  <c:v>0.21860000000000002</c:v>
                </c:pt>
                <c:pt idx="19">
                  <c:v>0.21860000000000002</c:v>
                </c:pt>
                <c:pt idx="20">
                  <c:v>0.21859999999999999</c:v>
                </c:pt>
                <c:pt idx="21">
                  <c:v>0.21853333333333333</c:v>
                </c:pt>
                <c:pt idx="22">
                  <c:v>0.21843333333333334</c:v>
                </c:pt>
                <c:pt idx="23">
                  <c:v>0.21836666666666668</c:v>
                </c:pt>
                <c:pt idx="24">
                  <c:v>0.21826666666666669</c:v>
                </c:pt>
                <c:pt idx="25">
                  <c:v>0.21816666666666665</c:v>
                </c:pt>
                <c:pt idx="26">
                  <c:v>0.21809999999999999</c:v>
                </c:pt>
                <c:pt idx="27">
                  <c:v>0.21796666666666667</c:v>
                </c:pt>
                <c:pt idx="28">
                  <c:v>0.21776666666666666</c:v>
                </c:pt>
                <c:pt idx="29">
                  <c:v>0.21740000000000004</c:v>
                </c:pt>
                <c:pt idx="30">
                  <c:v>0.21686666666666668</c:v>
                </c:pt>
                <c:pt idx="31">
                  <c:v>0.21623333333333336</c:v>
                </c:pt>
                <c:pt idx="32">
                  <c:v>0.21583333333333332</c:v>
                </c:pt>
                <c:pt idx="33">
                  <c:v>0.21613333333333337</c:v>
                </c:pt>
                <c:pt idx="34">
                  <c:v>0.21583333333333332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118-402C-B068-81B464184D4A}"/>
            </c:ext>
          </c:extLst>
        </c:ser>
        <c:ser>
          <c:idx val="0"/>
          <c:order val="4"/>
          <c:tx>
            <c:v>1%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'Viscosity vs shear rate @40c '!$A$34:$A$68</c:f>
              <c:numCache>
                <c:formatCode>General</c:formatCode>
                <c:ptCount val="35"/>
                <c:pt idx="0">
                  <c:v>0.1</c:v>
                </c:pt>
                <c:pt idx="1">
                  <c:v>0.12590000000000001</c:v>
                </c:pt>
                <c:pt idx="2">
                  <c:v>0.1585</c:v>
                </c:pt>
                <c:pt idx="3">
                  <c:v>0.19950000000000001</c:v>
                </c:pt>
                <c:pt idx="4">
                  <c:v>0.25119999999999998</c:v>
                </c:pt>
                <c:pt idx="5">
                  <c:v>0.31630000000000003</c:v>
                </c:pt>
                <c:pt idx="6">
                  <c:v>0.39810000000000001</c:v>
                </c:pt>
                <c:pt idx="7">
                  <c:v>0.50119999999999998</c:v>
                </c:pt>
                <c:pt idx="8">
                  <c:v>0.63100000000000001</c:v>
                </c:pt>
                <c:pt idx="9">
                  <c:v>0.7944</c:v>
                </c:pt>
                <c:pt idx="10">
                  <c:v>1</c:v>
                </c:pt>
                <c:pt idx="11">
                  <c:v>1.2589999999999999</c:v>
                </c:pt>
                <c:pt idx="12">
                  <c:v>1.585</c:v>
                </c:pt>
                <c:pt idx="13">
                  <c:v>1.9950000000000001</c:v>
                </c:pt>
                <c:pt idx="14">
                  <c:v>2.512</c:v>
                </c:pt>
                <c:pt idx="15">
                  <c:v>3.1619999999999999</c:v>
                </c:pt>
                <c:pt idx="16">
                  <c:v>3.9809999999999999</c:v>
                </c:pt>
                <c:pt idx="17">
                  <c:v>5.0119999999999996</c:v>
                </c:pt>
                <c:pt idx="18">
                  <c:v>6.31</c:v>
                </c:pt>
                <c:pt idx="19">
                  <c:v>7.944</c:v>
                </c:pt>
                <c:pt idx="20">
                  <c:v>10</c:v>
                </c:pt>
                <c:pt idx="21">
                  <c:v>12.59</c:v>
                </c:pt>
                <c:pt idx="22">
                  <c:v>15.85</c:v>
                </c:pt>
                <c:pt idx="23">
                  <c:v>19.95</c:v>
                </c:pt>
                <c:pt idx="24">
                  <c:v>25.12</c:v>
                </c:pt>
                <c:pt idx="25">
                  <c:v>31.62</c:v>
                </c:pt>
                <c:pt idx="26">
                  <c:v>39.81</c:v>
                </c:pt>
                <c:pt idx="27">
                  <c:v>50.12</c:v>
                </c:pt>
                <c:pt idx="28">
                  <c:v>63.1</c:v>
                </c:pt>
                <c:pt idx="29">
                  <c:v>79.44</c:v>
                </c:pt>
                <c:pt idx="30">
                  <c:v>100</c:v>
                </c:pt>
                <c:pt idx="31">
                  <c:v>125.9</c:v>
                </c:pt>
                <c:pt idx="32">
                  <c:v>158.5</c:v>
                </c:pt>
                <c:pt idx="33">
                  <c:v>199.5</c:v>
                </c:pt>
                <c:pt idx="34">
                  <c:v>200</c:v>
                </c:pt>
              </c:numCache>
            </c:numRef>
          </c:xVal>
          <c:yVal>
            <c:numRef>
              <c:f>'Viscosity vs shear rate @40c '!$B$34:$B$68</c:f>
              <c:numCache>
                <c:formatCode>General</c:formatCode>
                <c:ptCount val="35"/>
                <c:pt idx="0">
                  <c:v>0.11161</c:v>
                </c:pt>
                <c:pt idx="1">
                  <c:v>0.1168725</c:v>
                </c:pt>
                <c:pt idx="2">
                  <c:v>0.12274</c:v>
                </c:pt>
                <c:pt idx="3">
                  <c:v>0.12392500000000001</c:v>
                </c:pt>
                <c:pt idx="4">
                  <c:v>0.12432499999999999</c:v>
                </c:pt>
                <c:pt idx="5">
                  <c:v>0.1231275</c:v>
                </c:pt>
                <c:pt idx="6">
                  <c:v>0.12102250000000001</c:v>
                </c:pt>
                <c:pt idx="7">
                  <c:v>0.11766</c:v>
                </c:pt>
                <c:pt idx="8">
                  <c:v>0.11355749999999999</c:v>
                </c:pt>
                <c:pt idx="9">
                  <c:v>0.110625</c:v>
                </c:pt>
                <c:pt idx="10">
                  <c:v>0.11053499999999999</c:v>
                </c:pt>
                <c:pt idx="11">
                  <c:v>0.11172000000000001</c:v>
                </c:pt>
                <c:pt idx="12">
                  <c:v>0.11097499999999999</c:v>
                </c:pt>
                <c:pt idx="13">
                  <c:v>0.11019749999999999</c:v>
                </c:pt>
                <c:pt idx="14">
                  <c:v>0.11058</c:v>
                </c:pt>
                <c:pt idx="15">
                  <c:v>0.11034999999999999</c:v>
                </c:pt>
                <c:pt idx="16">
                  <c:v>0.1100575</c:v>
                </c:pt>
                <c:pt idx="17">
                  <c:v>0.11005999999999999</c:v>
                </c:pt>
                <c:pt idx="18">
                  <c:v>0.11007</c:v>
                </c:pt>
                <c:pt idx="19">
                  <c:v>0.1100225</c:v>
                </c:pt>
                <c:pt idx="20">
                  <c:v>0.11003499999999999</c:v>
                </c:pt>
                <c:pt idx="21">
                  <c:v>0.11003499999999999</c:v>
                </c:pt>
                <c:pt idx="22">
                  <c:v>0.11001999999999999</c:v>
                </c:pt>
                <c:pt idx="23">
                  <c:v>0.110065</c:v>
                </c:pt>
                <c:pt idx="24">
                  <c:v>0.11008499999999999</c:v>
                </c:pt>
                <c:pt idx="25">
                  <c:v>0.1101075</c:v>
                </c:pt>
                <c:pt idx="26">
                  <c:v>0.110155</c:v>
                </c:pt>
                <c:pt idx="27">
                  <c:v>0.11013249999999999</c:v>
                </c:pt>
                <c:pt idx="28">
                  <c:v>0.11008499999999999</c:v>
                </c:pt>
                <c:pt idx="29">
                  <c:v>0.11007749999999999</c:v>
                </c:pt>
                <c:pt idx="30">
                  <c:v>0.11003250000000001</c:v>
                </c:pt>
                <c:pt idx="31">
                  <c:v>0.10797333333333332</c:v>
                </c:pt>
                <c:pt idx="32">
                  <c:v>0.10785666666666667</c:v>
                </c:pt>
                <c:pt idx="33">
                  <c:v>0.10793999999999999</c:v>
                </c:pt>
                <c:pt idx="34">
                  <c:v>0.10793666666666668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118-402C-B068-81B464184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6281272"/>
        <c:axId val="306011504"/>
      </c:scatterChart>
      <c:valAx>
        <c:axId val="306281272"/>
        <c:scaling>
          <c:logBase val="10"/>
          <c:orientation val="minMax"/>
          <c:min val="1.0000000000000002E-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0" i="0" baseline="0">
                    <a:effectLst/>
                  </a:rPr>
                  <a:t>Shear rate/ s ̄ ¹</a:t>
                </a:r>
                <a:endParaRPr lang="en-GB" sz="8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41046707829799661"/>
              <c:y val="0.914299648953202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011504"/>
        <c:crossesAt val="1.0000000000000002E-2"/>
        <c:crossBetween val="midCat"/>
      </c:valAx>
      <c:valAx>
        <c:axId val="306011504"/>
        <c:scaling>
          <c:logBase val="10"/>
          <c:orientation val="minMax"/>
          <c:max val="10"/>
          <c:min val="1.0000000000000002E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sz="1400" b="0" i="0" baseline="0">
                    <a:effectLst/>
                  </a:rPr>
                  <a:t>η˳</a:t>
                </a:r>
                <a:r>
                  <a:rPr lang="en-GB" sz="1400" b="0" i="0" baseline="0">
                    <a:effectLst/>
                  </a:rPr>
                  <a:t> /pa.s</a:t>
                </a:r>
                <a:endParaRPr lang="en-GB" sz="8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2.8645900353155144E-4"/>
              <c:y val="0.287392096821230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281272"/>
        <c:crossesAt val="1.0000000000000002E-2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5387339340149859"/>
          <c:y val="7.3412711659587432E-2"/>
          <c:w val="8.2345298308208248E-2"/>
          <c:h val="0.501738845144356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2368352604573"/>
          <c:y val="3.4109863906276912E-2"/>
          <c:w val="0.8017618878721241"/>
          <c:h val="0.78145429401969912"/>
        </c:manualLayout>
      </c:layout>
      <c:scatterChart>
        <c:scatterStyle val="lineMarker"/>
        <c:varyColors val="0"/>
        <c:ser>
          <c:idx val="0"/>
          <c:order val="0"/>
          <c:tx>
            <c:strRef>
              <c:f>'lnT2 vs 1 over Temp'!$B$15</c:f>
              <c:strCache>
                <c:ptCount val="1"/>
                <c:pt idx="0">
                  <c:v>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plus"/>
            <c:size val="10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'lnT2 vs 1 over Temp'!$A$16:$A$20</c:f>
              <c:numCache>
                <c:formatCode>General</c:formatCode>
                <c:ptCount val="5"/>
                <c:pt idx="0">
                  <c:v>3.3003300330033004E-3</c:v>
                </c:pt>
                <c:pt idx="1">
                  <c:v>3.1948881789137379E-3</c:v>
                </c:pt>
                <c:pt idx="2">
                  <c:v>3.0959752321981426E-3</c:v>
                </c:pt>
                <c:pt idx="3">
                  <c:v>3.003003003003003E-3</c:v>
                </c:pt>
                <c:pt idx="4">
                  <c:v>2.9154518950437317E-3</c:v>
                </c:pt>
              </c:numCache>
            </c:numRef>
          </c:xVal>
          <c:yVal>
            <c:numRef>
              <c:f>'lnT2 vs 1 over Temp'!$B$16:$B$20</c:f>
              <c:numCache>
                <c:formatCode>General</c:formatCode>
                <c:ptCount val="5"/>
                <c:pt idx="0">
                  <c:v>-2.0487959515654492</c:v>
                </c:pt>
                <c:pt idx="1">
                  <c:v>-1.5941552889029433</c:v>
                </c:pt>
                <c:pt idx="2">
                  <c:v>-1.1895440676738149</c:v>
                </c:pt>
                <c:pt idx="3">
                  <c:v>-0.83565589185327682</c:v>
                </c:pt>
                <c:pt idx="4">
                  <c:v>-0.49985271361506034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06-4144-B7F4-5FD806690E13}"/>
            </c:ext>
          </c:extLst>
        </c:ser>
        <c:ser>
          <c:idx val="1"/>
          <c:order val="1"/>
          <c:tx>
            <c:v>1%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'lnT2 vs 1 over Temp'!$A$16:$A$20</c:f>
              <c:numCache>
                <c:formatCode>General</c:formatCode>
                <c:ptCount val="5"/>
                <c:pt idx="0">
                  <c:v>3.3003300330033004E-3</c:v>
                </c:pt>
                <c:pt idx="1">
                  <c:v>3.1948881789137379E-3</c:v>
                </c:pt>
                <c:pt idx="2">
                  <c:v>3.0959752321981426E-3</c:v>
                </c:pt>
                <c:pt idx="3">
                  <c:v>3.003003003003003E-3</c:v>
                </c:pt>
                <c:pt idx="4">
                  <c:v>2.9154518950437317E-3</c:v>
                </c:pt>
              </c:numCache>
            </c:numRef>
          </c:xVal>
          <c:yVal>
            <c:numRef>
              <c:f>'lnT2 vs 1 over Temp'!$C$16:$C$20</c:f>
              <c:numCache>
                <c:formatCode>General</c:formatCode>
                <c:ptCount val="5"/>
                <c:pt idx="0">
                  <c:v>-2.3209527503522307</c:v>
                </c:pt>
                <c:pt idx="1">
                  <c:v>-1.8762068633056743</c:v>
                </c:pt>
                <c:pt idx="2">
                  <c:v>-1.4771385284206162</c:v>
                </c:pt>
                <c:pt idx="3">
                  <c:v>-1.1359403939341091</c:v>
                </c:pt>
                <c:pt idx="4">
                  <c:v>-0.81123276197868277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606-4144-B7F4-5FD806690E13}"/>
            </c:ext>
          </c:extLst>
        </c:ser>
        <c:ser>
          <c:idx val="2"/>
          <c:order val="2"/>
          <c:tx>
            <c:v>3%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'lnT2 vs 1 over Temp'!$A$16:$A$20</c:f>
              <c:numCache>
                <c:formatCode>General</c:formatCode>
                <c:ptCount val="5"/>
                <c:pt idx="0">
                  <c:v>3.3003300330033004E-3</c:v>
                </c:pt>
                <c:pt idx="1">
                  <c:v>3.1948881789137379E-3</c:v>
                </c:pt>
                <c:pt idx="2">
                  <c:v>3.0959752321981426E-3</c:v>
                </c:pt>
                <c:pt idx="3">
                  <c:v>3.003003003003003E-3</c:v>
                </c:pt>
                <c:pt idx="4">
                  <c:v>2.9154518950437317E-3</c:v>
                </c:pt>
              </c:numCache>
            </c:numRef>
          </c:xVal>
          <c:yVal>
            <c:numRef>
              <c:f>'lnT2 vs 1 over Temp'!$D$16:$D$20</c:f>
              <c:numCache>
                <c:formatCode>General</c:formatCode>
                <c:ptCount val="5"/>
                <c:pt idx="0">
                  <c:v>-2.8137441056612742</c:v>
                </c:pt>
                <c:pt idx="1">
                  <c:v>-2.3650989983832882</c:v>
                </c:pt>
                <c:pt idx="2">
                  <c:v>-1.9730655418006851</c:v>
                </c:pt>
                <c:pt idx="3">
                  <c:v>-1.6420127583662789</c:v>
                </c:pt>
                <c:pt idx="4">
                  <c:v>-1.3317304211295236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606-4144-B7F4-5FD806690E13}"/>
            </c:ext>
          </c:extLst>
        </c:ser>
        <c:ser>
          <c:idx val="3"/>
          <c:order val="3"/>
          <c:tx>
            <c:v>5%</c:v>
          </c:tx>
          <c:spPr>
            <a:ln w="25400" cap="rnd">
              <a:noFill/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'lnT2 vs 1 over Temp'!$A$16:$A$20</c:f>
              <c:numCache>
                <c:formatCode>General</c:formatCode>
                <c:ptCount val="5"/>
                <c:pt idx="0">
                  <c:v>3.3003300330033004E-3</c:v>
                </c:pt>
                <c:pt idx="1">
                  <c:v>3.1948881789137379E-3</c:v>
                </c:pt>
                <c:pt idx="2">
                  <c:v>3.0959752321981426E-3</c:v>
                </c:pt>
                <c:pt idx="3">
                  <c:v>3.003003003003003E-3</c:v>
                </c:pt>
                <c:pt idx="4">
                  <c:v>2.9154518950437317E-3</c:v>
                </c:pt>
              </c:numCache>
            </c:numRef>
          </c:xVal>
          <c:yVal>
            <c:numRef>
              <c:f>'lnT2 vs 1 over Temp'!$E$16:$E$20</c:f>
              <c:numCache>
                <c:formatCode>General</c:formatCode>
                <c:ptCount val="5"/>
                <c:pt idx="0">
                  <c:v>-3.1080055160367768</c:v>
                </c:pt>
                <c:pt idx="1">
                  <c:v>-2.6799001576858643</c:v>
                </c:pt>
                <c:pt idx="2">
                  <c:v>-2.305890550002772</c:v>
                </c:pt>
                <c:pt idx="3">
                  <c:v>-1.9701925957752073</c:v>
                </c:pt>
                <c:pt idx="4">
                  <c:v>-1.6856172591729182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606-4144-B7F4-5FD806690E13}"/>
            </c:ext>
          </c:extLst>
        </c:ser>
        <c:ser>
          <c:idx val="4"/>
          <c:order val="4"/>
          <c:tx>
            <c:v>10%</c:v>
          </c:tx>
          <c:spPr>
            <a:ln w="25400" cap="rnd">
              <a:noFill/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'lnT2 vs 1 over Temp'!$A$16:$A$20</c:f>
              <c:numCache>
                <c:formatCode>General</c:formatCode>
                <c:ptCount val="5"/>
                <c:pt idx="0">
                  <c:v>3.3003300330033004E-3</c:v>
                </c:pt>
                <c:pt idx="1">
                  <c:v>3.1948881789137379E-3</c:v>
                </c:pt>
                <c:pt idx="2">
                  <c:v>3.0959752321981426E-3</c:v>
                </c:pt>
                <c:pt idx="3">
                  <c:v>3.003003003003003E-3</c:v>
                </c:pt>
                <c:pt idx="4">
                  <c:v>2.9154518950437317E-3</c:v>
                </c:pt>
              </c:numCache>
            </c:numRef>
          </c:xVal>
          <c:yVal>
            <c:numRef>
              <c:f>'lnT2 vs 1 over Temp'!$F$16:$F$20</c:f>
              <c:numCache>
                <c:formatCode>General</c:formatCode>
                <c:ptCount val="5"/>
                <c:pt idx="0">
                  <c:v>-3.7176905359680559</c:v>
                </c:pt>
                <c:pt idx="1">
                  <c:v>-3.3236809392343267</c:v>
                </c:pt>
                <c:pt idx="2">
                  <c:v>-2.940865372113151</c:v>
                </c:pt>
                <c:pt idx="3">
                  <c:v>-2.6256871106770872</c:v>
                </c:pt>
                <c:pt idx="4">
                  <c:v>-2.3447621718932319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A606-4144-B7F4-5FD806690E13}"/>
            </c:ext>
          </c:extLst>
        </c:ser>
        <c:ser>
          <c:idx val="5"/>
          <c:order val="5"/>
          <c:tx>
            <c:v>15%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'lnT2 vs 1 over Temp'!$A$16:$A$20</c:f>
              <c:numCache>
                <c:formatCode>General</c:formatCode>
                <c:ptCount val="5"/>
                <c:pt idx="0">
                  <c:v>3.3003300330033004E-3</c:v>
                </c:pt>
                <c:pt idx="1">
                  <c:v>3.1948881789137379E-3</c:v>
                </c:pt>
                <c:pt idx="2">
                  <c:v>3.0959752321981426E-3</c:v>
                </c:pt>
                <c:pt idx="3">
                  <c:v>3.003003003003003E-3</c:v>
                </c:pt>
                <c:pt idx="4">
                  <c:v>2.9154518950437317E-3</c:v>
                </c:pt>
              </c:numCache>
            </c:numRef>
          </c:xVal>
          <c:yVal>
            <c:numRef>
              <c:f>'lnT2 vs 1 over Temp'!$G$16:$G$20</c:f>
              <c:numCache>
                <c:formatCode>General</c:formatCode>
                <c:ptCount val="5"/>
                <c:pt idx="0">
                  <c:v>-4.3184886138698939</c:v>
                </c:pt>
                <c:pt idx="1">
                  <c:v>-3.9085291161738902</c:v>
                </c:pt>
                <c:pt idx="2">
                  <c:v>-3.5418397114646214</c:v>
                </c:pt>
                <c:pt idx="3">
                  <c:v>-3.1818209169171898</c:v>
                </c:pt>
                <c:pt idx="4">
                  <c:v>-2.8765280260755146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A606-4144-B7F4-5FD806690E13}"/>
            </c:ext>
          </c:extLst>
        </c:ser>
        <c:ser>
          <c:idx val="6"/>
          <c:order val="6"/>
          <c:tx>
            <c:v>15%C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206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'lnT2 vs 1 over Temp'!$A$16:$A$20</c:f>
              <c:numCache>
                <c:formatCode>General</c:formatCode>
                <c:ptCount val="5"/>
                <c:pt idx="0">
                  <c:v>3.3003300330033004E-3</c:v>
                </c:pt>
                <c:pt idx="1">
                  <c:v>3.1948881789137379E-3</c:v>
                </c:pt>
                <c:pt idx="2">
                  <c:v>3.0959752321981426E-3</c:v>
                </c:pt>
                <c:pt idx="3">
                  <c:v>3.003003003003003E-3</c:v>
                </c:pt>
                <c:pt idx="4">
                  <c:v>2.9154518950437317E-3</c:v>
                </c:pt>
              </c:numCache>
            </c:numRef>
          </c:xVal>
          <c:yVal>
            <c:numRef>
              <c:f>'lnT2 vs 1 over Temp'!$H$16:$H$20</c:f>
              <c:numCache>
                <c:formatCode>General</c:formatCode>
                <c:ptCount val="5"/>
                <c:pt idx="0">
                  <c:v>-3.791576852352279</c:v>
                </c:pt>
                <c:pt idx="1">
                  <c:v>-3.156605499142076</c:v>
                </c:pt>
                <c:pt idx="2">
                  <c:v>-2.6299786656820543</c:v>
                </c:pt>
                <c:pt idx="3">
                  <c:v>-2.1597842943623746</c:v>
                </c:pt>
                <c:pt idx="4">
                  <c:v>-1.7430835973040186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A606-4144-B7F4-5FD806690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6012288"/>
        <c:axId val="306012680"/>
      </c:scatterChart>
      <c:valAx>
        <c:axId val="306012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 sz="14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1/ T (K</a:t>
                </a:r>
                <a:r>
                  <a:rPr lang="en-GB" sz="1400" b="0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-1</a:t>
                </a:r>
                <a:r>
                  <a:rPr lang="en-GB" sz="14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44099744957622866"/>
              <c:y val="0.92190875839075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06012680"/>
        <c:crossesAt val="-5"/>
        <c:crossBetween val="midCat"/>
        <c:majorUnit val="2.0000000000000006E-4"/>
      </c:valAx>
      <c:valAx>
        <c:axId val="306012680"/>
        <c:scaling>
          <c:orientation val="minMax"/>
          <c:max val="0"/>
          <c:min val="-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 sz="14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ln (</a:t>
                </a:r>
                <a:r>
                  <a:rPr lang="en-GB" sz="1400" b="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en-GB" sz="1000" b="0" i="1" baseline="-25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 </a:t>
                </a:r>
                <a:r>
                  <a:rPr lang="en-GB" sz="14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/ s)</a:t>
                </a:r>
              </a:p>
            </c:rich>
          </c:tx>
          <c:layout>
            <c:manualLayout>
              <c:xMode val="edge"/>
              <c:yMode val="edge"/>
              <c:x val="1.1473535965055423E-2"/>
              <c:y val="0.347364060891163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06012288"/>
        <c:crosses val="autoZero"/>
        <c:crossBetween val="midCat"/>
        <c:majorUnit val="1.5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2289716488141684"/>
          <c:y val="0.39361188722377438"/>
          <c:w val="0.11329183871234684"/>
          <c:h val="0.339076608316270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76952409250733"/>
          <c:y val="4.3328042468411723E-2"/>
          <c:w val="0.75184925469222008"/>
          <c:h val="0.69541862431904111"/>
        </c:manualLayout>
      </c:layout>
      <c:scatterChart>
        <c:scatterStyle val="lineMarker"/>
        <c:varyColors val="0"/>
        <c:ser>
          <c:idx val="0"/>
          <c:order val="0"/>
          <c:tx>
            <c:v>0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'lnT2 vs 1 over Temp'!$A$7:$A$11</c:f>
              <c:numCache>
                <c:formatCode>General</c:formatCode>
                <c:ptCount val="5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</c:numCache>
            </c:numRef>
          </c:xVal>
          <c:yVal>
            <c:numRef>
              <c:f>'lnT2 vs 1 over Temp'!$B$7:$B$11</c:f>
              <c:numCache>
                <c:formatCode>General</c:formatCode>
                <c:ptCount val="5"/>
                <c:pt idx="0">
                  <c:v>0.12888999999999998</c:v>
                </c:pt>
                <c:pt idx="1">
                  <c:v>0.20308000000000001</c:v>
                </c:pt>
                <c:pt idx="2">
                  <c:v>0.30436000000000002</c:v>
                </c:pt>
                <c:pt idx="3">
                  <c:v>0.43358999999999998</c:v>
                </c:pt>
                <c:pt idx="4">
                  <c:v>0.60662000000000005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48D-407D-B78F-C649867FD324}"/>
            </c:ext>
          </c:extLst>
        </c:ser>
        <c:ser>
          <c:idx val="1"/>
          <c:order val="1"/>
          <c:tx>
            <c:v>1%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'lnT2 vs 1 over Temp'!$A$7:$A$11</c:f>
              <c:numCache>
                <c:formatCode>General</c:formatCode>
                <c:ptCount val="5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</c:numCache>
            </c:numRef>
          </c:xVal>
          <c:yVal>
            <c:numRef>
              <c:f>'lnT2 vs 1 over Temp'!$C$7:$C$11</c:f>
              <c:numCache>
                <c:formatCode>General</c:formatCode>
                <c:ptCount val="5"/>
                <c:pt idx="0">
                  <c:v>9.8180000000000003E-2</c:v>
                </c:pt>
                <c:pt idx="1">
                  <c:v>0.15317</c:v>
                </c:pt>
                <c:pt idx="2">
                  <c:v>0.22828999999999999</c:v>
                </c:pt>
                <c:pt idx="3">
                  <c:v>0.32112000000000002</c:v>
                </c:pt>
                <c:pt idx="4">
                  <c:v>0.44430999999999998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48D-407D-B78F-C649867FD324}"/>
            </c:ext>
          </c:extLst>
        </c:ser>
        <c:ser>
          <c:idx val="2"/>
          <c:order val="2"/>
          <c:tx>
            <c:v>3%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8"/>
            <c:spPr>
              <a:noFill/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'lnT2 vs 1 over Temp'!$A$7:$A$11</c:f>
              <c:numCache>
                <c:formatCode>General</c:formatCode>
                <c:ptCount val="5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</c:numCache>
            </c:numRef>
          </c:xVal>
          <c:yVal>
            <c:numRef>
              <c:f>'lnT2 vs 1 over Temp'!$D$7:$D$11</c:f>
              <c:numCache>
                <c:formatCode>General</c:formatCode>
                <c:ptCount val="5"/>
                <c:pt idx="0">
                  <c:v>5.9979999999999999E-2</c:v>
                </c:pt>
                <c:pt idx="1">
                  <c:v>9.3939999999999996E-2</c:v>
                </c:pt>
                <c:pt idx="2">
                  <c:v>0.13903000000000001</c:v>
                </c:pt>
                <c:pt idx="3">
                  <c:v>0.19359000000000001</c:v>
                </c:pt>
                <c:pt idx="4">
                  <c:v>0.26401999999999998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48D-407D-B78F-C649867FD324}"/>
            </c:ext>
          </c:extLst>
        </c:ser>
        <c:ser>
          <c:idx val="3"/>
          <c:order val="3"/>
          <c:tx>
            <c:v>5%</c:v>
          </c:tx>
          <c:spPr>
            <a:ln w="25400" cap="rnd">
              <a:noFill/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'lnT2 vs 1 over Temp'!$A$7:$A$11</c:f>
              <c:numCache>
                <c:formatCode>General</c:formatCode>
                <c:ptCount val="5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</c:numCache>
            </c:numRef>
          </c:xVal>
          <c:yVal>
            <c:numRef>
              <c:f>'lnT2 vs 1 over Temp'!$E$7:$E$11</c:f>
              <c:numCache>
                <c:formatCode>General</c:formatCode>
                <c:ptCount val="5"/>
                <c:pt idx="0">
                  <c:v>4.4690000000000001E-2</c:v>
                </c:pt>
                <c:pt idx="1">
                  <c:v>6.8569999999999992E-2</c:v>
                </c:pt>
                <c:pt idx="2">
                  <c:v>9.9670000000000009E-2</c:v>
                </c:pt>
                <c:pt idx="3">
                  <c:v>0.13943</c:v>
                </c:pt>
                <c:pt idx="4">
                  <c:v>0.18533000000000002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48D-407D-B78F-C649867FD324}"/>
            </c:ext>
          </c:extLst>
        </c:ser>
        <c:ser>
          <c:idx val="4"/>
          <c:order val="4"/>
          <c:tx>
            <c:v>10%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'lnT2 vs 1 over Temp'!$A$7:$A$11</c:f>
              <c:numCache>
                <c:formatCode>General</c:formatCode>
                <c:ptCount val="5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</c:numCache>
            </c:numRef>
          </c:xVal>
          <c:yVal>
            <c:numRef>
              <c:f>'lnT2 vs 1 over Temp'!$F$7:$F$11</c:f>
              <c:numCache>
                <c:formatCode>General</c:formatCode>
                <c:ptCount val="5"/>
                <c:pt idx="0">
                  <c:v>2.4289999999999999E-2</c:v>
                </c:pt>
                <c:pt idx="1">
                  <c:v>3.6020000000000003E-2</c:v>
                </c:pt>
                <c:pt idx="2">
                  <c:v>5.2819999999999999E-2</c:v>
                </c:pt>
                <c:pt idx="3">
                  <c:v>7.2389999999999996E-2</c:v>
                </c:pt>
                <c:pt idx="4">
                  <c:v>9.5870000000000011E-2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48D-407D-B78F-C649867FD324}"/>
            </c:ext>
          </c:extLst>
        </c:ser>
        <c:ser>
          <c:idx val="5"/>
          <c:order val="5"/>
          <c:tx>
            <c:v>15%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'lnT2 vs 1 over Temp'!$A$7:$A$11</c:f>
              <c:numCache>
                <c:formatCode>General</c:formatCode>
                <c:ptCount val="5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</c:numCache>
            </c:numRef>
          </c:xVal>
          <c:yVal>
            <c:numRef>
              <c:f>'lnT2 vs 1 over Temp'!$G$7:$G$11</c:f>
              <c:numCache>
                <c:formatCode>General</c:formatCode>
                <c:ptCount val="5"/>
                <c:pt idx="0">
                  <c:v>1.332E-2</c:v>
                </c:pt>
                <c:pt idx="1">
                  <c:v>2.0070000000000001E-2</c:v>
                </c:pt>
                <c:pt idx="2">
                  <c:v>2.896E-2</c:v>
                </c:pt>
                <c:pt idx="3">
                  <c:v>4.1509999999999998E-2</c:v>
                </c:pt>
                <c:pt idx="4">
                  <c:v>5.6329999999999998E-2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48D-407D-B78F-C649867FD324}"/>
            </c:ext>
          </c:extLst>
        </c:ser>
        <c:ser>
          <c:idx val="6"/>
          <c:order val="6"/>
          <c:tx>
            <c:v>15%C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'lnT2 vs 1 over Temp'!$A$7:$A$11</c:f>
              <c:numCache>
                <c:formatCode>General</c:formatCode>
                <c:ptCount val="5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</c:numCache>
            </c:numRef>
          </c:xVal>
          <c:yVal>
            <c:numRef>
              <c:f>'lnT2 vs 1 over Temp'!$H$7:$H$11</c:f>
              <c:numCache>
                <c:formatCode>General</c:formatCode>
                <c:ptCount val="5"/>
                <c:pt idx="0">
                  <c:v>2.256E-2</c:v>
                </c:pt>
                <c:pt idx="1">
                  <c:v>4.2570000000000004E-2</c:v>
                </c:pt>
                <c:pt idx="2">
                  <c:v>7.2080000000000005E-2</c:v>
                </c:pt>
                <c:pt idx="3">
                  <c:v>0.11534999999999999</c:v>
                </c:pt>
                <c:pt idx="4">
                  <c:v>0.17498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48D-407D-B78F-C649867FD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6013464"/>
        <c:axId val="306013856"/>
      </c:scatterChart>
      <c:valAx>
        <c:axId val="306013464"/>
        <c:scaling>
          <c:orientation val="minMax"/>
          <c:min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Temprature/</a:t>
                </a:r>
                <a:r>
                  <a:rPr lang="en-GB" sz="1400" baseline="0"/>
                  <a:t> </a:t>
                </a:r>
                <a:r>
                  <a:rPr lang="en-GB" sz="14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°C</a:t>
                </a:r>
                <a:r>
                  <a:rPr lang="en-GB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013856"/>
        <c:crossesAt val="-0.5"/>
        <c:crossBetween val="midCat"/>
      </c:valAx>
      <c:valAx>
        <c:axId val="306013856"/>
        <c:scaling>
          <c:orientation val="minMax"/>
          <c:max val="0.8"/>
          <c:min val="-0.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0" i="1" u="none" strike="noStrike" baseline="0">
                    <a:effectLst/>
                  </a:rPr>
                  <a:t>T</a:t>
                </a:r>
                <a:r>
                  <a:rPr lang="en-GB" sz="1000" b="0" i="1" u="none" strike="noStrike" baseline="0">
                    <a:effectLst/>
                  </a:rPr>
                  <a:t>2</a:t>
                </a:r>
                <a:r>
                  <a:rPr lang="en-GB" sz="1400" b="0" i="0" u="none" strike="noStrike" baseline="0">
                    <a:effectLst/>
                  </a:rPr>
                  <a:t>/ s</a:t>
                </a:r>
                <a:endParaRPr lang="en-GB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013464"/>
        <c:crossesAt val="20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1071301936314566"/>
          <c:y val="9.7070655370572995E-2"/>
          <c:w val="9.1173773089684551E-2"/>
          <c:h val="0.485365571157819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18532146098561"/>
          <c:y val="5.5544108228228264E-2"/>
          <c:w val="0.79788632962935713"/>
          <c:h val="0.77383035981261838"/>
        </c:manualLayout>
      </c:layout>
      <c:scatterChart>
        <c:scatterStyle val="lineMarker"/>
        <c:varyColors val="0"/>
        <c:ser>
          <c:idx val="0"/>
          <c:order val="0"/>
          <c:tx>
            <c:v>0</c:v>
          </c:tx>
          <c:spPr>
            <a:ln w="19050" cap="rnd">
              <a:noFill/>
              <a:round/>
            </a:ln>
            <a:effectLst/>
          </c:spPr>
          <c:marker>
            <c:symbol val="plus"/>
            <c:size val="8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'Ln T1 s  vs 1over Temp '!$A$15:$A$19</c:f>
              <c:numCache>
                <c:formatCode>General</c:formatCode>
                <c:ptCount val="5"/>
                <c:pt idx="0">
                  <c:v>3.3003300330033004E-3</c:v>
                </c:pt>
                <c:pt idx="1">
                  <c:v>3.1948881789137379E-3</c:v>
                </c:pt>
                <c:pt idx="2">
                  <c:v>3.0959752321981426E-3</c:v>
                </c:pt>
                <c:pt idx="3">
                  <c:v>3.003003003003003E-3</c:v>
                </c:pt>
                <c:pt idx="4">
                  <c:v>2.9154518950437317E-3</c:v>
                </c:pt>
              </c:numCache>
            </c:numRef>
          </c:xVal>
          <c:yVal>
            <c:numRef>
              <c:f>'Ln T1 s  vs 1over Temp '!$B$15:$B$19</c:f>
              <c:numCache>
                <c:formatCode>General</c:formatCode>
                <c:ptCount val="5"/>
                <c:pt idx="0">
                  <c:v>-1.8612381729981147</c:v>
                </c:pt>
                <c:pt idx="1">
                  <c:v>-1.4818365678403786</c:v>
                </c:pt>
                <c:pt idx="2">
                  <c:v>-1.060565341031207</c:v>
                </c:pt>
                <c:pt idx="3">
                  <c:v>-0.77197396110591632</c:v>
                </c:pt>
                <c:pt idx="4">
                  <c:v>-0.42899989124182797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2F4-4CE9-BE58-C9DC6FBEA80D}"/>
            </c:ext>
          </c:extLst>
        </c:ser>
        <c:ser>
          <c:idx val="1"/>
          <c:order val="1"/>
          <c:tx>
            <c:v>1%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'Ln T1 s  vs 1over Temp '!$A$15:$A$19</c:f>
              <c:numCache>
                <c:formatCode>General</c:formatCode>
                <c:ptCount val="5"/>
                <c:pt idx="0">
                  <c:v>3.3003300330033004E-3</c:v>
                </c:pt>
                <c:pt idx="1">
                  <c:v>3.1948881789137379E-3</c:v>
                </c:pt>
                <c:pt idx="2">
                  <c:v>3.0959752321981426E-3</c:v>
                </c:pt>
                <c:pt idx="3">
                  <c:v>3.003003003003003E-3</c:v>
                </c:pt>
                <c:pt idx="4">
                  <c:v>2.9154518950437317E-3</c:v>
                </c:pt>
              </c:numCache>
            </c:numRef>
          </c:xVal>
          <c:yVal>
            <c:numRef>
              <c:f>'Ln T1 s  vs 1over Temp '!$C$15:$C$19</c:f>
              <c:numCache>
                <c:formatCode>General</c:formatCode>
                <c:ptCount val="5"/>
                <c:pt idx="0">
                  <c:v>-2.2616351066650915</c:v>
                </c:pt>
                <c:pt idx="1">
                  <c:v>-1.7867719277170158</c:v>
                </c:pt>
                <c:pt idx="2">
                  <c:v>-1.4178263087330532</c:v>
                </c:pt>
                <c:pt idx="3">
                  <c:v>-1.048565771183974</c:v>
                </c:pt>
                <c:pt idx="4">
                  <c:v>-0.78165057915134872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2F4-4CE9-BE58-C9DC6FBEA80D}"/>
            </c:ext>
          </c:extLst>
        </c:ser>
        <c:ser>
          <c:idx val="2"/>
          <c:order val="2"/>
          <c:tx>
            <c:v>3%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'Ln T1 s  vs 1over Temp '!$A$15:$A$19</c:f>
              <c:numCache>
                <c:formatCode>General</c:formatCode>
                <c:ptCount val="5"/>
                <c:pt idx="0">
                  <c:v>3.3003300330033004E-3</c:v>
                </c:pt>
                <c:pt idx="1">
                  <c:v>3.1948881789137379E-3</c:v>
                </c:pt>
                <c:pt idx="2">
                  <c:v>3.0959752321981426E-3</c:v>
                </c:pt>
                <c:pt idx="3">
                  <c:v>3.003003003003003E-3</c:v>
                </c:pt>
                <c:pt idx="4">
                  <c:v>2.9154518950437317E-3</c:v>
                </c:pt>
              </c:numCache>
            </c:numRef>
          </c:xVal>
          <c:yVal>
            <c:numRef>
              <c:f>'Ln T1 s  vs 1over Temp '!$D$15:$D$19</c:f>
              <c:numCache>
                <c:formatCode>General</c:formatCode>
                <c:ptCount val="5"/>
                <c:pt idx="0">
                  <c:v>-2.595748829015065</c:v>
                </c:pt>
                <c:pt idx="1">
                  <c:v>-2.1978647822236428</c:v>
                </c:pt>
                <c:pt idx="2">
                  <c:v>-1.8230643950564702</c:v>
                </c:pt>
                <c:pt idx="3">
                  <c:v>-1.4884156841866507</c:v>
                </c:pt>
                <c:pt idx="4">
                  <c:v>-1.2342602052643925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2F4-4CE9-BE58-C9DC6FBEA80D}"/>
            </c:ext>
          </c:extLst>
        </c:ser>
        <c:ser>
          <c:idx val="3"/>
          <c:order val="3"/>
          <c:tx>
            <c:v>5%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8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'Ln T1 s  vs 1over Temp '!$A$15:$A$19</c:f>
              <c:numCache>
                <c:formatCode>General</c:formatCode>
                <c:ptCount val="5"/>
                <c:pt idx="0">
                  <c:v>3.3003300330033004E-3</c:v>
                </c:pt>
                <c:pt idx="1">
                  <c:v>3.1948881789137379E-3</c:v>
                </c:pt>
                <c:pt idx="2">
                  <c:v>3.0959752321981426E-3</c:v>
                </c:pt>
                <c:pt idx="3">
                  <c:v>3.003003003003003E-3</c:v>
                </c:pt>
                <c:pt idx="4">
                  <c:v>2.9154518950437317E-3</c:v>
                </c:pt>
              </c:numCache>
            </c:numRef>
          </c:xVal>
          <c:yVal>
            <c:numRef>
              <c:f>'Ln T1 s  vs 1over Temp '!$E$15:$E$19</c:f>
              <c:numCache>
                <c:formatCode>General</c:formatCode>
                <c:ptCount val="5"/>
                <c:pt idx="0">
                  <c:v>-2.762242430185637</c:v>
                </c:pt>
                <c:pt idx="1">
                  <c:v>-2.4401245070161073</c:v>
                </c:pt>
                <c:pt idx="2">
                  <c:v>-2.165086579808412</c:v>
                </c:pt>
                <c:pt idx="3">
                  <c:v>-1.8490284774186276</c:v>
                </c:pt>
                <c:pt idx="4">
                  <c:v>-1.5961762384509153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D2F4-4CE9-BE58-C9DC6FBEA80D}"/>
            </c:ext>
          </c:extLst>
        </c:ser>
        <c:ser>
          <c:idx val="4"/>
          <c:order val="4"/>
          <c:tx>
            <c:v>10%</c:v>
          </c:tx>
          <c:spPr>
            <a:ln w="25400" cap="rnd">
              <a:noFill/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'Ln T1 s  vs 1over Temp '!$A$15:$A$19</c:f>
              <c:numCache>
                <c:formatCode>General</c:formatCode>
                <c:ptCount val="5"/>
                <c:pt idx="0">
                  <c:v>3.3003300330033004E-3</c:v>
                </c:pt>
                <c:pt idx="1">
                  <c:v>3.1948881789137379E-3</c:v>
                </c:pt>
                <c:pt idx="2">
                  <c:v>3.0959752321981426E-3</c:v>
                </c:pt>
                <c:pt idx="3">
                  <c:v>3.003003003003003E-3</c:v>
                </c:pt>
                <c:pt idx="4">
                  <c:v>2.9154518950437317E-3</c:v>
                </c:pt>
              </c:numCache>
            </c:numRef>
          </c:xVal>
          <c:yVal>
            <c:numRef>
              <c:f>'Ln T1 s  vs 1over Temp '!$F$15:$F$19</c:f>
              <c:numCache>
                <c:formatCode>General</c:formatCode>
                <c:ptCount val="5"/>
                <c:pt idx="0">
                  <c:v>-3.4003977014915909</c:v>
                </c:pt>
                <c:pt idx="1">
                  <c:v>-3.0386397745652673</c:v>
                </c:pt>
                <c:pt idx="2">
                  <c:v>-2.7358325821146616</c:v>
                </c:pt>
                <c:pt idx="3">
                  <c:v>-2.4329215947220493</c:v>
                </c:pt>
                <c:pt idx="4">
                  <c:v>-2.1785991132130542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D2F4-4CE9-BE58-C9DC6FBEA80D}"/>
            </c:ext>
          </c:extLst>
        </c:ser>
        <c:ser>
          <c:idx val="5"/>
          <c:order val="5"/>
          <c:tx>
            <c:v>15%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'Ln T1 s  vs 1over Temp '!$A$15:$A$19</c:f>
              <c:numCache>
                <c:formatCode>General</c:formatCode>
                <c:ptCount val="5"/>
                <c:pt idx="0">
                  <c:v>3.3003300330033004E-3</c:v>
                </c:pt>
                <c:pt idx="1">
                  <c:v>3.1948881789137379E-3</c:v>
                </c:pt>
                <c:pt idx="2">
                  <c:v>3.0959752321981426E-3</c:v>
                </c:pt>
                <c:pt idx="3">
                  <c:v>3.003003003003003E-3</c:v>
                </c:pt>
                <c:pt idx="4">
                  <c:v>2.9154518950437317E-3</c:v>
                </c:pt>
              </c:numCache>
            </c:numRef>
          </c:xVal>
          <c:yVal>
            <c:numRef>
              <c:f>'Ln T1 s  vs 1over Temp '!$G$15:$G$19</c:f>
              <c:numCache>
                <c:formatCode>General</c:formatCode>
                <c:ptCount val="5"/>
                <c:pt idx="0">
                  <c:v>-3.7189263754662329</c:v>
                </c:pt>
                <c:pt idx="1">
                  <c:v>-3.5159350591325786</c:v>
                </c:pt>
                <c:pt idx="2">
                  <c:v>-3.2123968587704916</c:v>
                </c:pt>
                <c:pt idx="3">
                  <c:v>-2.9147054349116175</c:v>
                </c:pt>
                <c:pt idx="4">
                  <c:v>-2.6693103727862795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D2F4-4CE9-BE58-C9DC6FBEA80D}"/>
            </c:ext>
          </c:extLst>
        </c:ser>
        <c:ser>
          <c:idx val="6"/>
          <c:order val="6"/>
          <c:tx>
            <c:v>15%C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'Ln T1 s  vs 1over Temp '!$A$15:$A$19</c:f>
              <c:numCache>
                <c:formatCode>General</c:formatCode>
                <c:ptCount val="5"/>
                <c:pt idx="0">
                  <c:v>3.3003300330033004E-3</c:v>
                </c:pt>
                <c:pt idx="1">
                  <c:v>3.1948881789137379E-3</c:v>
                </c:pt>
                <c:pt idx="2">
                  <c:v>3.0959752321981426E-3</c:v>
                </c:pt>
                <c:pt idx="3">
                  <c:v>3.003003003003003E-3</c:v>
                </c:pt>
                <c:pt idx="4">
                  <c:v>2.9154518950437317E-3</c:v>
                </c:pt>
              </c:numCache>
            </c:numRef>
          </c:xVal>
          <c:yVal>
            <c:numRef>
              <c:f>'Ln T1 s  vs 1over Temp '!$H$15:$H$19</c:f>
              <c:numCache>
                <c:formatCode>General</c:formatCode>
                <c:ptCount val="5"/>
                <c:pt idx="0">
                  <c:v>-2.8476571554886276</c:v>
                </c:pt>
                <c:pt idx="1">
                  <c:v>-2.571772582809662</c:v>
                </c:pt>
                <c:pt idx="2">
                  <c:v>-2.3520905128978851</c:v>
                </c:pt>
                <c:pt idx="3">
                  <c:v>-2.0300420393850684</c:v>
                </c:pt>
                <c:pt idx="4">
                  <c:v>-1.7018822028253804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D2F4-4CE9-BE58-C9DC6FBEA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6014640"/>
        <c:axId val="306015032"/>
      </c:scatterChart>
      <c:valAx>
        <c:axId val="306014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 sz="14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1/ T (K ̄ </a:t>
                </a:r>
                <a:r>
                  <a:rPr lang="en-GB" sz="1400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¹</a:t>
                </a:r>
                <a:r>
                  <a:rPr lang="en-GB" sz="14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46974220348440698"/>
              <c:y val="0.912896831292314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low"/>
        <c:spPr>
          <a:solidFill>
            <a:schemeClr val="bg1"/>
          </a:solidFill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06015032"/>
        <c:crossesAt val="-4"/>
        <c:crossBetween val="midCat"/>
        <c:majorUnit val="2.0000000000000006E-4"/>
      </c:valAx>
      <c:valAx>
        <c:axId val="3060150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ln</a:t>
                </a:r>
                <a:r>
                  <a:rPr lang="en-GB" sz="14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</a:t>
                </a:r>
                <a:r>
                  <a:rPr lang="en-GB" sz="1400" i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en-GB" sz="1000" i="1" baseline="-25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1</a:t>
                </a:r>
                <a:r>
                  <a:rPr lang="en-GB" sz="14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/s)</a:t>
                </a:r>
                <a:endParaRPr lang="en-GB" sz="14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0078563411896746E-2"/>
              <c:y val="0.341639820403160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06014640"/>
        <c:crosses val="autoZero"/>
        <c:crossBetween val="midCat"/>
        <c:majorUnit val="1"/>
      </c:valAx>
      <c:spPr>
        <a:noFill/>
        <a:ln w="12700">
          <a:solidFill>
            <a:schemeClr val="tx1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c:spPr>
    </c:plotArea>
    <c:legend>
      <c:legendPos val="r"/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ayout>
        <c:manualLayout>
          <c:xMode val="edge"/>
          <c:yMode val="edge"/>
          <c:x val="0.81882868537536702"/>
          <c:y val="0.38067589244151578"/>
          <c:w val="0.12081437872214028"/>
          <c:h val="0.419130646643853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7745019795394"/>
          <c:y val="0.10050456271458057"/>
          <c:w val="0.81815139158826089"/>
          <c:h val="0.72106220221631723"/>
        </c:manualLayout>
      </c:layout>
      <c:scatterChart>
        <c:scatterStyle val="lineMarker"/>
        <c:varyColors val="0"/>
        <c:ser>
          <c:idx val="0"/>
          <c:order val="0"/>
          <c:tx>
            <c:v>0</c:v>
          </c:tx>
          <c:spPr>
            <a:ln w="25400" cap="rnd">
              <a:noFill/>
              <a:round/>
            </a:ln>
            <a:effectLst/>
          </c:spPr>
          <c:marker>
            <c:symbol val="plus"/>
            <c:size val="8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'Ln T1 s  vs 1over Temp '!$A$7:$A$11</c:f>
              <c:numCache>
                <c:formatCode>General</c:formatCode>
                <c:ptCount val="5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</c:numCache>
            </c:numRef>
          </c:xVal>
          <c:yVal>
            <c:numRef>
              <c:f>'Ln T1 s  vs 1over Temp '!$B$7:$B$11</c:f>
              <c:numCache>
                <c:formatCode>General</c:formatCode>
                <c:ptCount val="5"/>
                <c:pt idx="0">
                  <c:v>0.15547999999999998</c:v>
                </c:pt>
                <c:pt idx="1">
                  <c:v>0.22722000000000001</c:v>
                </c:pt>
                <c:pt idx="2">
                  <c:v>0.34626000000000001</c:v>
                </c:pt>
                <c:pt idx="3">
                  <c:v>0.46210000000000001</c:v>
                </c:pt>
                <c:pt idx="4">
                  <c:v>0.65115999999999996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F9D-4B3D-8BEB-B08F7CC5164F}"/>
            </c:ext>
          </c:extLst>
        </c:ser>
        <c:ser>
          <c:idx val="1"/>
          <c:order val="1"/>
          <c:tx>
            <c:v>1%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'Ln T1 s  vs 1over Temp '!$A$7:$A$11</c:f>
              <c:numCache>
                <c:formatCode>General</c:formatCode>
                <c:ptCount val="5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</c:numCache>
            </c:numRef>
          </c:xVal>
          <c:yVal>
            <c:numRef>
              <c:f>'Ln T1 s  vs 1over Temp '!$C$7:$C$11</c:f>
              <c:numCache>
                <c:formatCode>General</c:formatCode>
                <c:ptCount val="5"/>
                <c:pt idx="0">
                  <c:v>0.10418000000000001</c:v>
                </c:pt>
                <c:pt idx="1">
                  <c:v>0.16750000000000001</c:v>
                </c:pt>
                <c:pt idx="2">
                  <c:v>0.24224000000000001</c:v>
                </c:pt>
                <c:pt idx="3">
                  <c:v>0.35043999999999997</c:v>
                </c:pt>
                <c:pt idx="4">
                  <c:v>0.45765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F9D-4B3D-8BEB-B08F7CC5164F}"/>
            </c:ext>
          </c:extLst>
        </c:ser>
        <c:ser>
          <c:idx val="2"/>
          <c:order val="2"/>
          <c:tx>
            <c:v>3%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'Ln T1 s  vs 1over Temp '!$A$7:$A$11</c:f>
              <c:numCache>
                <c:formatCode>General</c:formatCode>
                <c:ptCount val="5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</c:numCache>
            </c:numRef>
          </c:xVal>
          <c:yVal>
            <c:numRef>
              <c:f>'Ln T1 s  vs 1over Temp '!$D$7:$D$11</c:f>
              <c:numCache>
                <c:formatCode>General</c:formatCode>
                <c:ptCount val="5"/>
                <c:pt idx="0">
                  <c:v>7.4590000000000004E-2</c:v>
                </c:pt>
                <c:pt idx="1">
                  <c:v>0.11104</c:v>
                </c:pt>
                <c:pt idx="2">
                  <c:v>0.16153000000000001</c:v>
                </c:pt>
                <c:pt idx="3">
                  <c:v>0.22572999999999999</c:v>
                </c:pt>
                <c:pt idx="4">
                  <c:v>0.29105000000000003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F9D-4B3D-8BEB-B08F7CC5164F}"/>
            </c:ext>
          </c:extLst>
        </c:ser>
        <c:ser>
          <c:idx val="3"/>
          <c:order val="3"/>
          <c:tx>
            <c:v>5%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8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'Ln T1 s  vs 1over Temp '!$A$7:$A$11</c:f>
              <c:numCache>
                <c:formatCode>General</c:formatCode>
                <c:ptCount val="5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</c:numCache>
            </c:numRef>
          </c:xVal>
          <c:yVal>
            <c:numRef>
              <c:f>'Ln T1 s  vs 1over Temp '!$E$7:$E$11</c:f>
              <c:numCache>
                <c:formatCode>General</c:formatCode>
                <c:ptCount val="5"/>
                <c:pt idx="0">
                  <c:v>6.3149999999999998E-2</c:v>
                </c:pt>
                <c:pt idx="1">
                  <c:v>8.7150000000000005E-2</c:v>
                </c:pt>
                <c:pt idx="2">
                  <c:v>0.11473999999999999</c:v>
                </c:pt>
                <c:pt idx="3">
                  <c:v>0.15738999999999997</c:v>
                </c:pt>
                <c:pt idx="4">
                  <c:v>0.20266999999999999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0F9D-4B3D-8BEB-B08F7CC5164F}"/>
            </c:ext>
          </c:extLst>
        </c:ser>
        <c:ser>
          <c:idx val="4"/>
          <c:order val="4"/>
          <c:tx>
            <c:v>10%</c:v>
          </c:tx>
          <c:spPr>
            <a:ln w="25400" cap="rnd">
              <a:noFill/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'Ln T1 s  vs 1over Temp '!$A$7:$A$11</c:f>
              <c:numCache>
                <c:formatCode>General</c:formatCode>
                <c:ptCount val="5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</c:numCache>
            </c:numRef>
          </c:xVal>
          <c:yVal>
            <c:numRef>
              <c:f>'Ln T1 s  vs 1over Temp '!$F$7:$F$11</c:f>
              <c:numCache>
                <c:formatCode>General</c:formatCode>
                <c:ptCount val="5"/>
                <c:pt idx="0">
                  <c:v>3.3360000000000001E-2</c:v>
                </c:pt>
                <c:pt idx="1">
                  <c:v>4.7899999999999998E-2</c:v>
                </c:pt>
                <c:pt idx="2">
                  <c:v>6.4840000000000009E-2</c:v>
                </c:pt>
                <c:pt idx="3">
                  <c:v>8.7779999999999997E-2</c:v>
                </c:pt>
                <c:pt idx="4">
                  <c:v>0.11320000000000001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0F9D-4B3D-8BEB-B08F7CC5164F}"/>
            </c:ext>
          </c:extLst>
        </c:ser>
        <c:ser>
          <c:idx val="5"/>
          <c:order val="5"/>
          <c:tx>
            <c:v>15%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'Ln T1 s  vs 1over Temp '!$A$7:$A$11</c:f>
              <c:numCache>
                <c:formatCode>General</c:formatCode>
                <c:ptCount val="5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</c:numCache>
            </c:numRef>
          </c:xVal>
          <c:yVal>
            <c:numRef>
              <c:f>'Ln T1 s  vs 1over Temp '!$G$7:$G$11</c:f>
              <c:numCache>
                <c:formatCode>General</c:formatCode>
                <c:ptCount val="5"/>
                <c:pt idx="0">
                  <c:v>2.426E-2</c:v>
                </c:pt>
                <c:pt idx="1">
                  <c:v>2.972E-2</c:v>
                </c:pt>
                <c:pt idx="2">
                  <c:v>4.0259999999999997E-2</c:v>
                </c:pt>
                <c:pt idx="3">
                  <c:v>5.4219999999999997E-2</c:v>
                </c:pt>
                <c:pt idx="4">
                  <c:v>6.93E-2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0F9D-4B3D-8BEB-B08F7CC5164F}"/>
            </c:ext>
          </c:extLst>
        </c:ser>
        <c:ser>
          <c:idx val="6"/>
          <c:order val="6"/>
          <c:tx>
            <c:v>15%C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'Ln T1 s  vs 1over Temp '!$A$7:$A$11</c:f>
              <c:numCache>
                <c:formatCode>General</c:formatCode>
                <c:ptCount val="5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</c:numCache>
            </c:numRef>
          </c:xVal>
          <c:yVal>
            <c:numRef>
              <c:f>'Ln T1 s  vs 1over Temp '!$H$7:$H$11</c:f>
              <c:numCache>
                <c:formatCode>General</c:formatCode>
                <c:ptCount val="5"/>
                <c:pt idx="0">
                  <c:v>5.7979999999999997E-2</c:v>
                </c:pt>
                <c:pt idx="1">
                  <c:v>7.640000000000001E-2</c:v>
                </c:pt>
                <c:pt idx="2">
                  <c:v>9.5170000000000005E-2</c:v>
                </c:pt>
                <c:pt idx="3">
                  <c:v>0.13133</c:v>
                </c:pt>
                <c:pt idx="4">
                  <c:v>0.18234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0F9D-4B3D-8BEB-B08F7CC51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6937296"/>
        <c:axId val="306937688"/>
      </c:scatterChart>
      <c:valAx>
        <c:axId val="306937296"/>
        <c:scaling>
          <c:orientation val="minMax"/>
          <c:min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Temperature/</a:t>
                </a:r>
                <a:r>
                  <a:rPr lang="en-GB" sz="1400" baseline="0"/>
                  <a:t> </a:t>
                </a:r>
                <a:r>
                  <a:rPr lang="en-GB" sz="1400" baseline="0">
                    <a:latin typeface="Calibri" panose="020F0502020204030204" pitchFamily="34" charset="0"/>
                    <a:cs typeface="Calibri" panose="020F0502020204030204" pitchFamily="34" charset="0"/>
                  </a:rPr>
                  <a:t>°C</a:t>
                </a:r>
                <a:endParaRPr lang="en-GB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937688"/>
        <c:crossesAt val="0"/>
        <c:crossBetween val="midCat"/>
        <c:majorUnit val="20"/>
      </c:valAx>
      <c:valAx>
        <c:axId val="306937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i="1"/>
                  <a:t>T</a:t>
                </a:r>
                <a:r>
                  <a:rPr lang="en-GB" sz="1000" i="1"/>
                  <a:t>1</a:t>
                </a:r>
                <a:r>
                  <a:rPr lang="en-GB" sz="1400"/>
                  <a:t>/s </a:t>
                </a:r>
              </a:p>
            </c:rich>
          </c:tx>
          <c:layout>
            <c:manualLayout>
              <c:xMode val="edge"/>
              <c:yMode val="edge"/>
              <c:x val="1.4803067581914747E-2"/>
              <c:y val="0.429236557695618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93729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ayout>
        <c:manualLayout>
          <c:xMode val="edge"/>
          <c:yMode val="edge"/>
          <c:x val="0.8652539506798671"/>
          <c:y val="0.22940509142972307"/>
          <c:w val="8.3310313986381002E-2"/>
          <c:h val="0.456176806651926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47003499562554"/>
          <c:y val="2.5428331875182269E-2"/>
          <c:w val="0.76406736657917762"/>
          <c:h val="0.80790135608048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'Viscos VS xylan concentrations'!$C$6</c:f>
              <c:strCache>
                <c:ptCount val="1"/>
                <c:pt idx="0">
                  <c:v>30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-2.5"/>
            <c:dispRSqr val="0"/>
            <c:dispEq val="0"/>
          </c:trendline>
          <c:xVal>
            <c:numRef>
              <c:f>'Viscos VS xylan concentrations'!$A$15:$A$20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</c:numCache>
            </c:numRef>
          </c:xVal>
          <c:yVal>
            <c:numRef>
              <c:f>'Viscos VS xylan concentrations'!$C$15:$C$20</c:f>
              <c:numCache>
                <c:formatCode>General</c:formatCode>
                <c:ptCount val="6"/>
                <c:pt idx="0">
                  <c:v>-2.4564124917489281</c:v>
                </c:pt>
                <c:pt idx="1">
                  <c:v>-1.646978734741281</c:v>
                </c:pt>
                <c:pt idx="2">
                  <c:v>-0.88065390193263604</c:v>
                </c:pt>
                <c:pt idx="3">
                  <c:v>-2.2527457484465965E-2</c:v>
                </c:pt>
                <c:pt idx="4">
                  <c:v>1.7062783361784961</c:v>
                </c:pt>
                <c:pt idx="5">
                  <c:v>2.7733510597210427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80-4022-86D2-3B652B4DD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6938472"/>
        <c:axId val="306938864"/>
      </c:scatterChart>
      <c:valAx>
        <c:axId val="306938472"/>
        <c:scaling>
          <c:orientation val="minMax"/>
          <c:max val="20"/>
          <c:min val="0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938864"/>
        <c:crossesAt val="-3"/>
        <c:crossBetween val="midCat"/>
      </c:valAx>
      <c:valAx>
        <c:axId val="30693886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9384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96486076808453"/>
          <c:y val="7.6361491800217951E-2"/>
          <c:w val="0.76132599953143032"/>
          <c:h val="0.75191247728649302"/>
        </c:manualLayout>
      </c:layout>
      <c:scatterChart>
        <c:scatterStyle val="lineMarker"/>
        <c:varyColors val="0"/>
        <c:ser>
          <c:idx val="6"/>
          <c:order val="0"/>
          <c:tx>
            <c:v>15%C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'LnEta of xylan&amp; cellu vs Temp'!$A$7:$A$11</c:f>
              <c:numCache>
                <c:formatCode>General</c:formatCode>
                <c:ptCount val="5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</c:numCache>
            </c:numRef>
          </c:xVal>
          <c:yVal>
            <c:numRef>
              <c:f>'LnEta of xylan&amp; cellu vs Temp'!$R$7:$R$11</c:f>
              <c:numCache>
                <c:formatCode>General</c:formatCode>
                <c:ptCount val="5"/>
                <c:pt idx="0">
                  <c:v>1207.2</c:v>
                </c:pt>
                <c:pt idx="1">
                  <c:v>393.78</c:v>
                </c:pt>
                <c:pt idx="2">
                  <c:v>160.85</c:v>
                </c:pt>
                <c:pt idx="3">
                  <c:v>70.3</c:v>
                </c:pt>
                <c:pt idx="4">
                  <c:v>35.713000000000001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898-4C9C-9941-9BB23C46E288}"/>
            </c:ext>
          </c:extLst>
        </c:ser>
        <c:ser>
          <c:idx val="5"/>
          <c:order val="1"/>
          <c:tx>
            <c:v>15%</c:v>
          </c:tx>
          <c:spPr>
            <a:ln w="25400" cap="rnd">
              <a:noFill/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'LnEta of xylan&amp; cellu vs Temp'!$A$7:$A$11</c:f>
              <c:numCache>
                <c:formatCode>General</c:formatCode>
                <c:ptCount val="5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</c:numCache>
            </c:numRef>
          </c:xVal>
          <c:yVal>
            <c:numRef>
              <c:f>'LnEta of xylan&amp; cellu vs Temp'!$H$7:$H$11</c:f>
              <c:numCache>
                <c:formatCode>General</c:formatCode>
                <c:ptCount val="5"/>
                <c:pt idx="0">
                  <c:v>50.892410575149512</c:v>
                </c:pt>
                <c:pt idx="1">
                  <c:v>16.01220205014933</c:v>
                </c:pt>
                <c:pt idx="2">
                  <c:v>6.5260442262903844</c:v>
                </c:pt>
                <c:pt idx="3">
                  <c:v>3.0833951812344926</c:v>
                </c:pt>
                <c:pt idx="4">
                  <c:v>1.6182222956475214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98-4C9C-9941-9BB23C46E288}"/>
            </c:ext>
          </c:extLst>
        </c:ser>
        <c:ser>
          <c:idx val="4"/>
          <c:order val="2"/>
          <c:tx>
            <c:v>10%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'LnEta of xylan&amp; cellu vs Temp'!$A$7:$A$11</c:f>
              <c:numCache>
                <c:formatCode>General</c:formatCode>
                <c:ptCount val="5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</c:numCache>
            </c:numRef>
          </c:xVal>
          <c:yVal>
            <c:numRef>
              <c:f>'LnEta of xylan&amp; cellu vs Temp'!$G$7:$G$11</c:f>
              <c:numCache>
                <c:formatCode>General</c:formatCode>
                <c:ptCount val="5"/>
                <c:pt idx="0">
                  <c:v>14.608311829225862</c:v>
                </c:pt>
                <c:pt idx="1">
                  <c:v>5.5084227844842486</c:v>
                </c:pt>
                <c:pt idx="2">
                  <c:v>2.4741078679393849</c:v>
                </c:pt>
                <c:pt idx="3">
                  <c:v>1.2400134445920039</c:v>
                </c:pt>
                <c:pt idx="4">
                  <c:v>0.66679178085125335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898-4C9C-9941-9BB23C46E288}"/>
            </c:ext>
          </c:extLst>
        </c:ser>
        <c:ser>
          <c:idx val="3"/>
          <c:order val="3"/>
          <c:tx>
            <c:v>5%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8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'LnEta of xylan&amp; cellu vs Temp'!$A$7:$A$11</c:f>
              <c:numCache>
                <c:formatCode>General</c:formatCode>
                <c:ptCount val="5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</c:numCache>
            </c:numRef>
          </c:xVal>
          <c:yVal>
            <c:numRef>
              <c:f>'LnEta of xylan&amp; cellu vs Temp'!$F$7:$F$11</c:f>
              <c:numCache>
                <c:formatCode>General</c:formatCode>
                <c:ptCount val="5"/>
                <c:pt idx="0">
                  <c:v>2.2853748434762138</c:v>
                </c:pt>
                <c:pt idx="1">
                  <c:v>0.97772439097249608</c:v>
                </c:pt>
                <c:pt idx="2">
                  <c:v>0.48529901513833712</c:v>
                </c:pt>
                <c:pt idx="3">
                  <c:v>0.25902365591007076</c:v>
                </c:pt>
                <c:pt idx="4">
                  <c:v>0.15713253119117634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898-4C9C-9941-9BB23C46E288}"/>
            </c:ext>
          </c:extLst>
        </c:ser>
        <c:ser>
          <c:idx val="2"/>
          <c:order val="4"/>
          <c:tx>
            <c:v>3%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'LnEta of xylan&amp; cellu vs Temp'!$A$7:$A$11</c:f>
              <c:numCache>
                <c:formatCode>General</c:formatCode>
                <c:ptCount val="5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</c:numCache>
            </c:numRef>
          </c:xVal>
          <c:yVal>
            <c:numRef>
              <c:f>'LnEta of xylan&amp; cellu vs Temp'!$E$7:$E$11</c:f>
              <c:numCache>
                <c:formatCode>General</c:formatCode>
                <c:ptCount val="5"/>
                <c:pt idx="0">
                  <c:v>0.87624844484281006</c:v>
                </c:pt>
                <c:pt idx="1">
                  <c:v>0.41451177299272601</c:v>
                </c:pt>
                <c:pt idx="2">
                  <c:v>0.21877723239127236</c:v>
                </c:pt>
                <c:pt idx="3">
                  <c:v>0.12793746405579101</c:v>
                </c:pt>
                <c:pt idx="4">
                  <c:v>7.8644843837476552E-2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898-4C9C-9941-9BB23C46E288}"/>
            </c:ext>
          </c:extLst>
        </c:ser>
        <c:ser>
          <c:idx val="1"/>
          <c:order val="5"/>
          <c:tx>
            <c:v>1%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'LnEta of xylan&amp; cellu vs Temp'!$A$7:$A$11</c:f>
              <c:numCache>
                <c:formatCode>General</c:formatCode>
                <c:ptCount val="5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</c:numCache>
            </c:numRef>
          </c:xVal>
          <c:yVal>
            <c:numRef>
              <c:f>'LnEta of xylan&amp; cellu vs Temp'!$D$7:$D$11</c:f>
              <c:numCache>
                <c:formatCode>General</c:formatCode>
                <c:ptCount val="5"/>
                <c:pt idx="0">
                  <c:v>0.3574667368332401</c:v>
                </c:pt>
                <c:pt idx="1">
                  <c:v>0.19263101974099578</c:v>
                </c:pt>
                <c:pt idx="2">
                  <c:v>0.11200153317493158</c:v>
                </c:pt>
                <c:pt idx="3">
                  <c:v>7.3410608834847235E-2</c:v>
                </c:pt>
                <c:pt idx="4">
                  <c:v>5.173479190646188E-2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898-4C9C-9941-9BB23C46E288}"/>
            </c:ext>
          </c:extLst>
        </c:ser>
        <c:ser>
          <c:idx val="0"/>
          <c:order val="6"/>
          <c:tx>
            <c:v>0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'LnEta of xylan&amp; cellu vs Temp'!$A$7:$A$11</c:f>
              <c:numCache>
                <c:formatCode>General</c:formatCode>
                <c:ptCount val="5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</c:numCache>
            </c:numRef>
          </c:xVal>
          <c:yVal>
            <c:numRef>
              <c:f>'LnEta of xylan&amp; cellu vs Temp'!$C$7:$C$11</c:f>
              <c:numCache>
                <c:formatCode>General</c:formatCode>
                <c:ptCount val="5"/>
                <c:pt idx="0">
                  <c:v>0.16427</c:v>
                </c:pt>
                <c:pt idx="1">
                  <c:v>8.5741999999999999E-2</c:v>
                </c:pt>
                <c:pt idx="2">
                  <c:v>5.1180000000000003E-2</c:v>
                </c:pt>
                <c:pt idx="3">
                  <c:v>3.2809999999999999E-2</c:v>
                </c:pt>
                <c:pt idx="4">
                  <c:v>2.2792E-2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898-4C9C-9941-9BB23C46E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6939648"/>
        <c:axId val="306940040"/>
      </c:scatterChart>
      <c:valAx>
        <c:axId val="306939648"/>
        <c:scaling>
          <c:orientation val="minMax"/>
          <c:min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/>
                  <a:t>Temperature /</a:t>
                </a:r>
                <a:r>
                  <a:rPr lang="en-GB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°C</a:t>
                </a:r>
                <a:endParaRPr lang="en-GB" sz="1200"/>
              </a:p>
            </c:rich>
          </c:tx>
          <c:layout>
            <c:manualLayout>
              <c:xMode val="edge"/>
              <c:yMode val="edge"/>
              <c:x val="0.45023874759452515"/>
              <c:y val="0.931128312835494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940040"/>
        <c:crossesAt val="1.0000000000000002E-2"/>
        <c:crossBetween val="midCat"/>
      </c:valAx>
      <c:valAx>
        <c:axId val="306940040"/>
        <c:scaling>
          <c:logBase val="10"/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 b="0" i="0" baseline="0">
                    <a:effectLst/>
                  </a:rPr>
                  <a:t>Log (</a:t>
                </a:r>
                <a:r>
                  <a:rPr lang="el-GR" sz="1200" b="0" i="0" baseline="0">
                    <a:effectLst/>
                  </a:rPr>
                  <a:t>η</a:t>
                </a:r>
                <a:r>
                  <a:rPr lang="en-GB" sz="1200" b="0" i="0" baseline="0">
                    <a:effectLst/>
                  </a:rPr>
                  <a:t> </a:t>
                </a:r>
                <a:r>
                  <a:rPr lang="en-GB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̥ </a:t>
                </a:r>
                <a:r>
                  <a:rPr lang="en-GB" sz="1200" b="0" i="0" baseline="0">
                    <a:effectLst/>
                  </a:rPr>
                  <a:t>/ pa.s) </a:t>
                </a:r>
                <a:endParaRPr lang="en-GB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3.6152696398966969E-2"/>
              <c:y val="0.356112260088299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93964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3644672461312908"/>
          <c:y val="9.8340557768339623E-2"/>
          <c:w val="7.4801999820904783E-2"/>
          <c:h val="0.41557030604652556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60798044369939"/>
          <c:y val="6.6329130286909066E-2"/>
          <c:w val="0.8284533329417253"/>
          <c:h val="0.76296870117205884"/>
        </c:manualLayout>
      </c:layout>
      <c:scatterChart>
        <c:scatterStyle val="lineMarker"/>
        <c:varyColors val="0"/>
        <c:ser>
          <c:idx val="6"/>
          <c:order val="0"/>
          <c:tx>
            <c:v>15%c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rgbClr val="7030A0"/>
                </a:solidFill>
              </a:ln>
              <a:effectLst/>
            </c:spPr>
          </c:marker>
          <c:trendline>
            <c:spPr>
              <a:ln w="9525" cap="rnd">
                <a:solidFill>
                  <a:srgbClr val="7030A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errBars>
            <c:errDir val="y"/>
            <c:errBarType val="both"/>
            <c:errValType val="fixedVal"/>
            <c:noEndCap val="0"/>
            <c:val val="0.30000000000000004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'LnEta of xylan&amp; cellu vs Temp'!$B$18:$B$22</c:f>
              <c:numCache>
                <c:formatCode>General</c:formatCode>
                <c:ptCount val="5"/>
                <c:pt idx="0">
                  <c:v>3.41122292341805</c:v>
                </c:pt>
                <c:pt idx="1">
                  <c:v>3.2986970146791998</c:v>
                </c:pt>
                <c:pt idx="2">
                  <c:v>3.1933578157432496</c:v>
                </c:pt>
                <c:pt idx="3">
                  <c:v>3.0945381401825798</c:v>
                </c:pt>
                <c:pt idx="4">
                  <c:v>3.0016509079993998</c:v>
                </c:pt>
              </c:numCache>
            </c:numRef>
          </c:xVal>
          <c:yVal>
            <c:numRef>
              <c:f>'LnEta of xylan&amp; cellu vs Temp'!$R$18:$R$22</c:f>
              <c:numCache>
                <c:formatCode>General</c:formatCode>
                <c:ptCount val="5"/>
                <c:pt idx="0">
                  <c:v>7.0960589074536395</c:v>
                </c:pt>
                <c:pt idx="1">
                  <c:v>5.9757923777136863</c:v>
                </c:pt>
                <c:pt idx="2">
                  <c:v>5.0804722536850351</c:v>
                </c:pt>
                <c:pt idx="3">
                  <c:v>4.2527717988166192</c:v>
                </c:pt>
                <c:pt idx="4">
                  <c:v>3.5755147681589174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583-4029-8EEB-C2D79B3F80FA}"/>
            </c:ext>
          </c:extLst>
        </c:ser>
        <c:ser>
          <c:idx val="5"/>
          <c:order val="1"/>
          <c:tx>
            <c:strRef>
              <c:f>'LnEta of xylan&amp; cellu vs Temp'!$H$17</c:f>
              <c:strCache>
                <c:ptCount val="1"/>
                <c:pt idx="0">
                  <c:v>15%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9525" cap="rnd">
                <a:solidFill>
                  <a:schemeClr val="accent6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errBars>
            <c:errDir val="y"/>
            <c:errBarType val="both"/>
            <c:errValType val="fixedVal"/>
            <c:noEndCap val="0"/>
            <c:val val="0.4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'LnEta of xylan&amp; cellu vs Temp'!$B$18:$B$22</c:f>
              <c:numCache>
                <c:formatCode>General</c:formatCode>
                <c:ptCount val="5"/>
                <c:pt idx="0">
                  <c:v>3.41122292341805</c:v>
                </c:pt>
                <c:pt idx="1">
                  <c:v>3.2986970146791998</c:v>
                </c:pt>
                <c:pt idx="2">
                  <c:v>3.1933578157432496</c:v>
                </c:pt>
                <c:pt idx="3">
                  <c:v>3.0945381401825798</c:v>
                </c:pt>
                <c:pt idx="4">
                  <c:v>3.0016509079993998</c:v>
                </c:pt>
              </c:numCache>
            </c:numRef>
          </c:xVal>
          <c:yVal>
            <c:numRef>
              <c:f>'LnEta of xylan&amp; cellu vs Temp'!$H$18:$H$22</c:f>
              <c:numCache>
                <c:formatCode>General</c:formatCode>
                <c:ptCount val="5"/>
                <c:pt idx="0">
                  <c:v>3.9297138078253204</c:v>
                </c:pt>
                <c:pt idx="1">
                  <c:v>2.7733510597210427</c:v>
                </c:pt>
                <c:pt idx="2">
                  <c:v>1.8758009750850924</c:v>
                </c:pt>
                <c:pt idx="3">
                  <c:v>1.1260313214338038</c:v>
                </c:pt>
                <c:pt idx="4">
                  <c:v>0.48132819835101853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83-4029-8EEB-C2D79B3F80FA}"/>
            </c:ext>
          </c:extLst>
        </c:ser>
        <c:ser>
          <c:idx val="4"/>
          <c:order val="2"/>
          <c:tx>
            <c:strRef>
              <c:f>'LnEta of xylan&amp; cellu vs Temp'!$G$17</c:f>
              <c:strCache>
                <c:ptCount val="1"/>
                <c:pt idx="0">
                  <c:v>10%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9525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errBars>
            <c:errDir val="y"/>
            <c:errBarType val="both"/>
            <c:errValType val="fixedVal"/>
            <c:noEndCap val="0"/>
            <c:val val="0.2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'LnEta of xylan&amp; cellu vs Temp'!$B$18:$B$22</c:f>
              <c:numCache>
                <c:formatCode>General</c:formatCode>
                <c:ptCount val="5"/>
                <c:pt idx="0">
                  <c:v>3.41122292341805</c:v>
                </c:pt>
                <c:pt idx="1">
                  <c:v>3.2986970146791998</c:v>
                </c:pt>
                <c:pt idx="2">
                  <c:v>3.1933578157432496</c:v>
                </c:pt>
                <c:pt idx="3">
                  <c:v>3.0945381401825798</c:v>
                </c:pt>
                <c:pt idx="4">
                  <c:v>3.0016509079993998</c:v>
                </c:pt>
              </c:numCache>
            </c:numRef>
          </c:xVal>
          <c:yVal>
            <c:numRef>
              <c:f>'LnEta of xylan&amp; cellu vs Temp'!$G$18:$G$22</c:f>
              <c:numCache>
                <c:formatCode>General</c:formatCode>
                <c:ptCount val="5"/>
                <c:pt idx="0">
                  <c:v>2.6815906700942391</c:v>
                </c:pt>
                <c:pt idx="1">
                  <c:v>1.7062783361784961</c:v>
                </c:pt>
                <c:pt idx="2">
                  <c:v>0.9058798736420417</c:v>
                </c:pt>
                <c:pt idx="3">
                  <c:v>0.21512222197107334</c:v>
                </c:pt>
                <c:pt idx="4">
                  <c:v>-0.40527745443933544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583-4029-8EEB-C2D79B3F80FA}"/>
            </c:ext>
          </c:extLst>
        </c:ser>
        <c:ser>
          <c:idx val="3"/>
          <c:order val="3"/>
          <c:tx>
            <c:strRef>
              <c:f>'LnEta of xylan&amp; cellu vs Temp'!$F$17</c:f>
              <c:strCache>
                <c:ptCount val="1"/>
                <c:pt idx="0">
                  <c:v>5%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tar"/>
            <c:size val="8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9525" cap="rnd">
                <a:solidFill>
                  <a:schemeClr val="accent4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errBars>
            <c:errDir val="y"/>
            <c:errBarType val="both"/>
            <c:errValType val="fixedVal"/>
            <c:noEndCap val="0"/>
            <c:val val="0.2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'LnEta of xylan&amp; cellu vs Temp'!$B$18:$B$22</c:f>
              <c:numCache>
                <c:formatCode>General</c:formatCode>
                <c:ptCount val="5"/>
                <c:pt idx="0">
                  <c:v>3.41122292341805</c:v>
                </c:pt>
                <c:pt idx="1">
                  <c:v>3.2986970146791998</c:v>
                </c:pt>
                <c:pt idx="2">
                  <c:v>3.1933578157432496</c:v>
                </c:pt>
                <c:pt idx="3">
                  <c:v>3.0945381401825798</c:v>
                </c:pt>
                <c:pt idx="4">
                  <c:v>3.0016509079993998</c:v>
                </c:pt>
              </c:numCache>
            </c:numRef>
          </c:xVal>
          <c:yVal>
            <c:numRef>
              <c:f>'LnEta of xylan&amp; cellu vs Temp'!$F$18:$F$22</c:f>
              <c:numCache>
                <c:formatCode>General</c:formatCode>
                <c:ptCount val="5"/>
                <c:pt idx="0">
                  <c:v>0.82653005617720665</c:v>
                </c:pt>
                <c:pt idx="1">
                  <c:v>-2.2527457484465965E-2</c:v>
                </c:pt>
                <c:pt idx="2">
                  <c:v>-0.7229900519603385</c:v>
                </c:pt>
                <c:pt idx="3">
                  <c:v>-1.3508358858933189</c:v>
                </c:pt>
                <c:pt idx="4">
                  <c:v>-1.8506656820116296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583-4029-8EEB-C2D79B3F80FA}"/>
            </c:ext>
          </c:extLst>
        </c:ser>
        <c:ser>
          <c:idx val="2"/>
          <c:order val="4"/>
          <c:tx>
            <c:strRef>
              <c:f>'LnEta of xylan&amp; cellu vs Temp'!$E$17</c:f>
              <c:strCache>
                <c:ptCount val="1"/>
                <c:pt idx="0">
                  <c:v>3%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9525">
                <a:solidFill>
                  <a:srgbClr val="C00000"/>
                </a:solidFill>
              </a:ln>
              <a:effectLst/>
            </c:spPr>
          </c:marker>
          <c:trendline>
            <c:spPr>
              <a:ln w="9525" cap="rnd">
                <a:solidFill>
                  <a:srgbClr val="C0000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errBars>
            <c:errDir val="y"/>
            <c:errBarType val="both"/>
            <c:errValType val="fixedVal"/>
            <c:noEndCap val="0"/>
            <c:val val="0.2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'LnEta of xylan&amp; cellu vs Temp'!$B$18:$B$22</c:f>
              <c:numCache>
                <c:formatCode>General</c:formatCode>
                <c:ptCount val="5"/>
                <c:pt idx="0">
                  <c:v>3.41122292341805</c:v>
                </c:pt>
                <c:pt idx="1">
                  <c:v>3.2986970146791998</c:v>
                </c:pt>
                <c:pt idx="2">
                  <c:v>3.1933578157432496</c:v>
                </c:pt>
                <c:pt idx="3">
                  <c:v>3.0945381401825798</c:v>
                </c:pt>
                <c:pt idx="4">
                  <c:v>3.0016509079993998</c:v>
                </c:pt>
              </c:numCache>
            </c:numRef>
          </c:xVal>
          <c:yVal>
            <c:numRef>
              <c:f>'LnEta of xylan&amp; cellu vs Temp'!$E$18:$E$22</c:f>
              <c:numCache>
                <c:formatCode>General</c:formatCode>
                <c:ptCount val="5"/>
                <c:pt idx="0">
                  <c:v>-0.1321056154220048</c:v>
                </c:pt>
                <c:pt idx="1">
                  <c:v>-0.88065390193263604</c:v>
                </c:pt>
                <c:pt idx="2">
                  <c:v>-1.5197012705612354</c:v>
                </c:pt>
                <c:pt idx="3">
                  <c:v>-2.0562136965119842</c:v>
                </c:pt>
                <c:pt idx="4">
                  <c:v>-2.542813209955225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583-4029-8EEB-C2D79B3F80FA}"/>
            </c:ext>
          </c:extLst>
        </c:ser>
        <c:ser>
          <c:idx val="1"/>
          <c:order val="5"/>
          <c:tx>
            <c:strRef>
              <c:f>'LnEta of xylan&amp; cellu vs Temp'!$D$17</c:f>
              <c:strCache>
                <c:ptCount val="1"/>
                <c:pt idx="0">
                  <c:v>1%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8"/>
            <c:spPr>
              <a:noFill/>
              <a:ln w="9525">
                <a:solidFill>
                  <a:srgbClr val="0070C0"/>
                </a:solidFill>
              </a:ln>
              <a:effectLst/>
            </c:spPr>
          </c:marker>
          <c:trendline>
            <c:spPr>
              <a:ln w="9525" cap="rnd">
                <a:solidFill>
                  <a:srgbClr val="0070C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errBars>
            <c:errDir val="y"/>
            <c:errBarType val="both"/>
            <c:errValType val="fixedVal"/>
            <c:noEndCap val="0"/>
            <c:val val="0.2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'LnEta of xylan&amp; cellu vs Temp'!$B$18:$B$22</c:f>
              <c:numCache>
                <c:formatCode>General</c:formatCode>
                <c:ptCount val="5"/>
                <c:pt idx="0">
                  <c:v>3.41122292341805</c:v>
                </c:pt>
                <c:pt idx="1">
                  <c:v>3.2986970146791998</c:v>
                </c:pt>
                <c:pt idx="2">
                  <c:v>3.1933578157432496</c:v>
                </c:pt>
                <c:pt idx="3">
                  <c:v>3.0945381401825798</c:v>
                </c:pt>
                <c:pt idx="4">
                  <c:v>3.0016509079993998</c:v>
                </c:pt>
              </c:numCache>
            </c:numRef>
          </c:xVal>
          <c:yVal>
            <c:numRef>
              <c:f>'LnEta of xylan&amp; cellu vs Temp'!$D$18:$D$22</c:f>
              <c:numCache>
                <c:formatCode>General</c:formatCode>
                <c:ptCount val="5"/>
                <c:pt idx="0">
                  <c:v>-1.0287129650000244</c:v>
                </c:pt>
                <c:pt idx="1">
                  <c:v>-1.646978734741281</c:v>
                </c:pt>
                <c:pt idx="2">
                  <c:v>-2.1892427187188477</c:v>
                </c:pt>
                <c:pt idx="3">
                  <c:v>-2.6116868192710734</c:v>
                </c:pt>
                <c:pt idx="4">
                  <c:v>-2.9616247662303672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583-4029-8EEB-C2D79B3F80FA}"/>
            </c:ext>
          </c:extLst>
        </c:ser>
        <c:ser>
          <c:idx val="0"/>
          <c:order val="6"/>
          <c:tx>
            <c:strRef>
              <c:f>'LnEta of xylan&amp; cellu vs Temp'!$C$17</c:f>
              <c:strCache>
                <c:ptCount val="1"/>
                <c:pt idx="0">
                  <c:v>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trendline>
            <c:spPr>
              <a:ln w="9525" cap="rnd">
                <a:solidFill>
                  <a:schemeClr val="accent2">
                    <a:lumMod val="75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errBars>
            <c:errDir val="y"/>
            <c:errBarType val="both"/>
            <c:errValType val="fixedVal"/>
            <c:noEndCap val="0"/>
            <c:val val="0.2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'LnEta of xylan&amp; cellu vs Temp'!$B$18:$B$22</c:f>
              <c:numCache>
                <c:formatCode>General</c:formatCode>
                <c:ptCount val="5"/>
                <c:pt idx="0">
                  <c:v>3.41122292341805</c:v>
                </c:pt>
                <c:pt idx="1">
                  <c:v>3.2986970146791998</c:v>
                </c:pt>
                <c:pt idx="2">
                  <c:v>3.1933578157432496</c:v>
                </c:pt>
                <c:pt idx="3">
                  <c:v>3.0945381401825798</c:v>
                </c:pt>
                <c:pt idx="4">
                  <c:v>3.0016509079993998</c:v>
                </c:pt>
              </c:numCache>
            </c:numRef>
          </c:xVal>
          <c:yVal>
            <c:numRef>
              <c:f>'LnEta of xylan&amp; cellu vs Temp'!$C$18:$C$22</c:f>
              <c:numCache>
                <c:formatCode>General</c:formatCode>
                <c:ptCount val="5"/>
                <c:pt idx="0">
                  <c:v>-1.8062438634290285</c:v>
                </c:pt>
                <c:pt idx="1">
                  <c:v>-2.4564124917489281</c:v>
                </c:pt>
                <c:pt idx="2">
                  <c:v>-2.9724064482504944</c:v>
                </c:pt>
                <c:pt idx="3">
                  <c:v>-3.4170219320091269</c:v>
                </c:pt>
                <c:pt idx="4">
                  <c:v>-3.7813456817865299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583-4029-8EEB-C2D79B3F8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6641976"/>
        <c:axId val="306642368"/>
      </c:scatterChart>
      <c:valAx>
        <c:axId val="306641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 sz="14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1000/ T ( K)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06642368"/>
        <c:crossesAt val="-8"/>
        <c:crossBetween val="midCat"/>
        <c:majorUnit val="0.2"/>
      </c:valAx>
      <c:valAx>
        <c:axId val="3066423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 sz="14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ln (</a:t>
                </a:r>
                <a:r>
                  <a:rPr lang="el-GR" sz="14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η</a:t>
                </a:r>
                <a:r>
                  <a:rPr lang="en-GB" sz="14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̥ / pa.s) </a:t>
                </a:r>
                <a:endParaRPr lang="en-GB" sz="1400" b="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9.1761930640203628E-3"/>
              <c:y val="0.307818063918480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06641976"/>
        <c:crosses val="autoZero"/>
        <c:crossBetween val="midCat"/>
        <c:majorUnit val="4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ayout>
        <c:manualLayout>
          <c:xMode val="edge"/>
          <c:yMode val="edge"/>
          <c:x val="0.85417429643294063"/>
          <c:y val="7.6987348190205113E-2"/>
          <c:w val="9.2489146998720129E-2"/>
          <c:h val="0.47004748978103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609354668229926"/>
          <c:y val="3.3858184435549769E-2"/>
          <c:w val="0.77575851241945015"/>
          <c:h val="0.79922113165539488"/>
        </c:manualLayout>
      </c:layout>
      <c:scatterChart>
        <c:scatterStyle val="lineMarker"/>
        <c:varyColors val="0"/>
        <c:ser>
          <c:idx val="4"/>
          <c:order val="0"/>
          <c:tx>
            <c:v>15%c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'LnEta of xylan&amp; cellu vs Temp'!$A$7:$A$11</c:f>
              <c:numCache>
                <c:formatCode>General</c:formatCode>
                <c:ptCount val="5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</c:numCache>
            </c:numRef>
          </c:xVal>
          <c:yVal>
            <c:numRef>
              <c:f>'LnEta of xylan&amp; cellu vs Temp'!$R$7:$R$11</c:f>
              <c:numCache>
                <c:formatCode>General</c:formatCode>
                <c:ptCount val="5"/>
                <c:pt idx="0">
                  <c:v>1207.2</c:v>
                </c:pt>
                <c:pt idx="1">
                  <c:v>393.78</c:v>
                </c:pt>
                <c:pt idx="2">
                  <c:v>160.85</c:v>
                </c:pt>
                <c:pt idx="3">
                  <c:v>70.3</c:v>
                </c:pt>
                <c:pt idx="4">
                  <c:v>35.713000000000001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538-4DFB-BAB1-F0AE23C99530}"/>
            </c:ext>
          </c:extLst>
        </c:ser>
        <c:ser>
          <c:idx val="3"/>
          <c:order val="1"/>
          <c:tx>
            <c:v>10%c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'LnEta of xylan&amp; cellu vs Temp'!$A$7:$A$11</c:f>
              <c:numCache>
                <c:formatCode>General</c:formatCode>
                <c:ptCount val="5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</c:numCache>
            </c:numRef>
          </c:xVal>
          <c:yVal>
            <c:numRef>
              <c:f>'LnEta of xylan&amp; cellu vs Temp'!$Q$7:$Q$11</c:f>
              <c:numCache>
                <c:formatCode>General</c:formatCode>
                <c:ptCount val="5"/>
                <c:pt idx="0">
                  <c:v>168.33</c:v>
                </c:pt>
                <c:pt idx="1">
                  <c:v>64.007000000000005</c:v>
                </c:pt>
                <c:pt idx="2">
                  <c:v>27.966999999999999</c:v>
                </c:pt>
                <c:pt idx="3">
                  <c:v>13.683</c:v>
                </c:pt>
                <c:pt idx="4">
                  <c:v>7.3643999999999998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38-4DFB-BAB1-F0AE23C99530}"/>
            </c:ext>
          </c:extLst>
        </c:ser>
        <c:ser>
          <c:idx val="2"/>
          <c:order val="2"/>
          <c:tx>
            <c:v>5%c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'LnEta of xylan&amp; cellu vs Temp'!$A$7:$A$11</c:f>
              <c:numCache>
                <c:formatCode>General</c:formatCode>
                <c:ptCount val="5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</c:numCache>
            </c:numRef>
          </c:xVal>
          <c:yVal>
            <c:numRef>
              <c:f>'LnEta of xylan&amp; cellu vs Temp'!$P$7:$P$11</c:f>
              <c:numCache>
                <c:formatCode>General</c:formatCode>
                <c:ptCount val="5"/>
                <c:pt idx="0">
                  <c:v>7.7675999999999998</c:v>
                </c:pt>
                <c:pt idx="1">
                  <c:v>3.4279999999999999</c:v>
                </c:pt>
                <c:pt idx="2">
                  <c:v>1.7237</c:v>
                </c:pt>
                <c:pt idx="3">
                  <c:v>0.94935999999999998</c:v>
                </c:pt>
                <c:pt idx="4">
                  <c:v>0.56618999999999997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538-4DFB-BAB1-F0AE23C99530}"/>
            </c:ext>
          </c:extLst>
        </c:ser>
        <c:ser>
          <c:idx val="1"/>
          <c:order val="3"/>
          <c:tx>
            <c:v>1%c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'LnEta of xylan&amp; cellu vs Temp'!$A$7:$A$11</c:f>
              <c:numCache>
                <c:formatCode>General</c:formatCode>
                <c:ptCount val="5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</c:numCache>
            </c:numRef>
          </c:xVal>
          <c:yVal>
            <c:numRef>
              <c:f>'LnEta of xylan&amp; cellu vs Temp'!$N$7:$N$11</c:f>
              <c:numCache>
                <c:formatCode>General</c:formatCode>
                <c:ptCount val="5"/>
                <c:pt idx="0">
                  <c:v>0.49310999999999999</c:v>
                </c:pt>
                <c:pt idx="1">
                  <c:v>0.24357999999999999</c:v>
                </c:pt>
                <c:pt idx="2">
                  <c:v>0.13666</c:v>
                </c:pt>
                <c:pt idx="3">
                  <c:v>8.3946999999999994E-2</c:v>
                </c:pt>
                <c:pt idx="4">
                  <c:v>5.5043000000000002E-2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538-4DFB-BAB1-F0AE23C99530}"/>
            </c:ext>
          </c:extLst>
        </c:ser>
        <c:ser>
          <c:idx val="0"/>
          <c:order val="4"/>
          <c:tx>
            <c:v>0</c:v>
          </c:tx>
          <c:spPr>
            <a:ln w="19050" cap="rnd">
              <a:noFill/>
              <a:round/>
            </a:ln>
            <a:effectLst/>
          </c:spPr>
          <c:marker>
            <c:symbol val="star"/>
            <c:size val="8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'LnEta of xylan&amp; cellu vs Temp'!$A$7:$A$11</c:f>
              <c:numCache>
                <c:formatCode>General</c:formatCode>
                <c:ptCount val="5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</c:numCache>
            </c:numRef>
          </c:xVal>
          <c:yVal>
            <c:numRef>
              <c:f>'LnEta of xylan&amp; cellu vs Temp'!$M$7:$M$11</c:f>
              <c:numCache>
                <c:formatCode>General</c:formatCode>
                <c:ptCount val="5"/>
                <c:pt idx="0">
                  <c:v>0.16427</c:v>
                </c:pt>
                <c:pt idx="1">
                  <c:v>8.5741999999999999E-2</c:v>
                </c:pt>
                <c:pt idx="2">
                  <c:v>5.1180000000000003E-2</c:v>
                </c:pt>
                <c:pt idx="3">
                  <c:v>3.2809999999999999E-2</c:v>
                </c:pt>
                <c:pt idx="4">
                  <c:v>2.2792E-2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538-4DFB-BAB1-F0AE23C99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6643152"/>
        <c:axId val="306643544"/>
      </c:scatterChart>
      <c:valAx>
        <c:axId val="306643152"/>
        <c:scaling>
          <c:logBase val="10"/>
          <c:orientation val="minMax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/>
                  <a:t>Temperature/ </a:t>
                </a:r>
                <a:r>
                  <a:rPr lang="en-GB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°C</a:t>
                </a:r>
                <a:endParaRPr lang="en-GB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643544"/>
        <c:crossesAt val="1.0000000000000002E-2"/>
        <c:crossBetween val="midCat"/>
      </c:valAx>
      <c:valAx>
        <c:axId val="306643544"/>
        <c:scaling>
          <c:logBase val="10"/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 b="0" i="0" baseline="0">
                    <a:effectLst/>
                  </a:rPr>
                  <a:t>Log (</a:t>
                </a:r>
                <a:r>
                  <a:rPr lang="el-GR" sz="1200" b="0" i="0" baseline="0">
                    <a:effectLst/>
                  </a:rPr>
                  <a:t>η</a:t>
                </a:r>
                <a:r>
                  <a:rPr lang="en-GB" sz="1200" b="0" i="0" baseline="0">
                    <a:effectLst/>
                  </a:rPr>
                  <a:t> ̥ / pa.s) </a:t>
                </a:r>
                <a:endParaRPr lang="en-GB" sz="1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64315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5956770632097379"/>
          <c:y val="0.24566488506200776"/>
          <c:w val="7.9518588095269821E-2"/>
          <c:h val="0.3343262105546582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61084079949793"/>
          <c:y val="4.4531064299210874E-2"/>
          <c:w val="0.80604021859649266"/>
          <c:h val="0.78363087245409868"/>
        </c:manualLayout>
      </c:layout>
      <c:scatterChart>
        <c:scatterStyle val="lineMarker"/>
        <c:varyColors val="0"/>
        <c:ser>
          <c:idx val="4"/>
          <c:order val="0"/>
          <c:tx>
            <c:v>15%c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'LnEta of xylan&amp; cellu vs Temp'!$L$18:$L$22</c:f>
              <c:numCache>
                <c:formatCode>General</c:formatCode>
                <c:ptCount val="5"/>
                <c:pt idx="0">
                  <c:v>3.41122292341805</c:v>
                </c:pt>
                <c:pt idx="1">
                  <c:v>3.2986970146791998</c:v>
                </c:pt>
                <c:pt idx="2">
                  <c:v>3.1933578157432496</c:v>
                </c:pt>
                <c:pt idx="3">
                  <c:v>3.0945381401825798</c:v>
                </c:pt>
                <c:pt idx="4">
                  <c:v>3.0016509079993998</c:v>
                </c:pt>
              </c:numCache>
            </c:numRef>
          </c:xVal>
          <c:yVal>
            <c:numRef>
              <c:f>'LnEta of xylan&amp; cellu vs Temp'!$R$18:$R$22</c:f>
              <c:numCache>
                <c:formatCode>General</c:formatCode>
                <c:ptCount val="5"/>
                <c:pt idx="0">
                  <c:v>7.0960589074536395</c:v>
                </c:pt>
                <c:pt idx="1">
                  <c:v>5.9757923777136863</c:v>
                </c:pt>
                <c:pt idx="2">
                  <c:v>5.0804722536850351</c:v>
                </c:pt>
                <c:pt idx="3">
                  <c:v>4.2527717988166192</c:v>
                </c:pt>
                <c:pt idx="4">
                  <c:v>3.5755147681589174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50D-4DA1-8C05-4757FB6FC6BC}"/>
            </c:ext>
          </c:extLst>
        </c:ser>
        <c:ser>
          <c:idx val="3"/>
          <c:order val="1"/>
          <c:tx>
            <c:v>10%C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accent4"/>
              </a:solidFill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'LnEta of xylan&amp; cellu vs Temp'!$L$18:$L$22</c:f>
              <c:numCache>
                <c:formatCode>General</c:formatCode>
                <c:ptCount val="5"/>
                <c:pt idx="0">
                  <c:v>3.41122292341805</c:v>
                </c:pt>
                <c:pt idx="1">
                  <c:v>3.2986970146791998</c:v>
                </c:pt>
                <c:pt idx="2">
                  <c:v>3.1933578157432496</c:v>
                </c:pt>
                <c:pt idx="3">
                  <c:v>3.0945381401825798</c:v>
                </c:pt>
                <c:pt idx="4">
                  <c:v>3.0016509079993998</c:v>
                </c:pt>
              </c:numCache>
            </c:numRef>
          </c:xVal>
          <c:yVal>
            <c:numRef>
              <c:f>'LnEta of xylan&amp; cellu vs Temp'!$Q$18:$Q$22</c:f>
              <c:numCache>
                <c:formatCode>General</c:formatCode>
                <c:ptCount val="5"/>
                <c:pt idx="0">
                  <c:v>5.1259263384309905</c:v>
                </c:pt>
                <c:pt idx="1">
                  <c:v>4.158992452378663</c:v>
                </c:pt>
                <c:pt idx="2">
                  <c:v>3.3310252436851528</c:v>
                </c:pt>
                <c:pt idx="3">
                  <c:v>2.6161541863976732</c:v>
                </c:pt>
                <c:pt idx="4">
                  <c:v>1.9966575802009146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50D-4DA1-8C05-4757FB6FC6BC}"/>
            </c:ext>
          </c:extLst>
        </c:ser>
        <c:ser>
          <c:idx val="2"/>
          <c:order val="2"/>
          <c:tx>
            <c:v>5%c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'LnEta of xylan&amp; cellu vs Temp'!$L$18:$L$22</c:f>
              <c:numCache>
                <c:formatCode>General</c:formatCode>
                <c:ptCount val="5"/>
                <c:pt idx="0">
                  <c:v>3.41122292341805</c:v>
                </c:pt>
                <c:pt idx="1">
                  <c:v>3.2986970146791998</c:v>
                </c:pt>
                <c:pt idx="2">
                  <c:v>3.1933578157432496</c:v>
                </c:pt>
                <c:pt idx="3">
                  <c:v>3.0945381401825798</c:v>
                </c:pt>
                <c:pt idx="4">
                  <c:v>3.0016509079993998</c:v>
                </c:pt>
              </c:numCache>
            </c:numRef>
          </c:xVal>
          <c:yVal>
            <c:numRef>
              <c:f>'LnEta of xylan&amp; cellu vs Temp'!$P$18:$P$22</c:f>
              <c:numCache>
                <c:formatCode>General</c:formatCode>
                <c:ptCount val="5"/>
                <c:pt idx="0">
                  <c:v>2.0499612363573276</c:v>
                </c:pt>
                <c:pt idx="1">
                  <c:v>1.2319770007355333</c:v>
                </c:pt>
                <c:pt idx="2">
                  <c:v>0.54447314317820861</c:v>
                </c:pt>
                <c:pt idx="3">
                  <c:v>-5.1967205625253435E-2</c:v>
                </c:pt>
                <c:pt idx="4">
                  <c:v>-0.56882556806397944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0D-4DA1-8C05-4757FB6FC6BC}"/>
            </c:ext>
          </c:extLst>
        </c:ser>
        <c:ser>
          <c:idx val="1"/>
          <c:order val="3"/>
          <c:tx>
            <c:v>1%c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'LnEta of xylan&amp; cellu vs Temp'!$L$18:$L$22</c:f>
              <c:numCache>
                <c:formatCode>General</c:formatCode>
                <c:ptCount val="5"/>
                <c:pt idx="0">
                  <c:v>3.41122292341805</c:v>
                </c:pt>
                <c:pt idx="1">
                  <c:v>3.2986970146791998</c:v>
                </c:pt>
                <c:pt idx="2">
                  <c:v>3.1933578157432496</c:v>
                </c:pt>
                <c:pt idx="3">
                  <c:v>3.0945381401825798</c:v>
                </c:pt>
                <c:pt idx="4">
                  <c:v>3.0016509079993998</c:v>
                </c:pt>
              </c:numCache>
            </c:numRef>
          </c:xVal>
          <c:yVal>
            <c:numRef>
              <c:f>'LnEta of xylan&amp; cellu vs Temp'!$N$18:$N$22</c:f>
              <c:numCache>
                <c:formatCode>General</c:formatCode>
                <c:ptCount val="5"/>
                <c:pt idx="0">
                  <c:v>-0.70702300609559332</c:v>
                </c:pt>
                <c:pt idx="1">
                  <c:v>-1.4123098483231726</c:v>
                </c:pt>
                <c:pt idx="2">
                  <c:v>-1.9902591896295048</c:v>
                </c:pt>
                <c:pt idx="3">
                  <c:v>-2.4775696316539966</c:v>
                </c:pt>
                <c:pt idx="4">
                  <c:v>-2.8996405810284833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50D-4DA1-8C05-4757FB6FC6BC}"/>
            </c:ext>
          </c:extLst>
        </c:ser>
        <c:ser>
          <c:idx val="0"/>
          <c:order val="4"/>
          <c:tx>
            <c:v>0</c:v>
          </c:tx>
          <c:spPr>
            <a:ln w="19050" cap="rnd">
              <a:noFill/>
              <a:round/>
            </a:ln>
            <a:effectLst/>
          </c:spPr>
          <c:marker>
            <c:symbol val="star"/>
            <c:size val="8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'LnEta of xylan&amp; cellu vs Temp'!$L$18:$L$22</c:f>
              <c:numCache>
                <c:formatCode>General</c:formatCode>
                <c:ptCount val="5"/>
                <c:pt idx="0">
                  <c:v>3.41122292341805</c:v>
                </c:pt>
                <c:pt idx="1">
                  <c:v>3.2986970146791998</c:v>
                </c:pt>
                <c:pt idx="2">
                  <c:v>3.1933578157432496</c:v>
                </c:pt>
                <c:pt idx="3">
                  <c:v>3.0945381401825798</c:v>
                </c:pt>
                <c:pt idx="4">
                  <c:v>3.0016509079993998</c:v>
                </c:pt>
              </c:numCache>
            </c:numRef>
          </c:xVal>
          <c:yVal>
            <c:numRef>
              <c:f>'LnEta of xylan&amp; cellu vs Temp'!$M$18:$M$22</c:f>
              <c:numCache>
                <c:formatCode>General</c:formatCode>
                <c:ptCount val="5"/>
                <c:pt idx="0">
                  <c:v>-1.8062438634290285</c:v>
                </c:pt>
                <c:pt idx="1">
                  <c:v>-2.4564124917489281</c:v>
                </c:pt>
                <c:pt idx="2">
                  <c:v>-2.9724064482504944</c:v>
                </c:pt>
                <c:pt idx="3">
                  <c:v>-3.4170219320091269</c:v>
                </c:pt>
                <c:pt idx="4">
                  <c:v>-3.7813456817865299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50D-4DA1-8C05-4757FB6FC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6644328"/>
        <c:axId val="306644720"/>
      </c:scatterChart>
      <c:valAx>
        <c:axId val="30664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 b="0" i="0" baseline="0">
                    <a:effectLst/>
                  </a:rPr>
                  <a:t>1000 /T(k ̄¹)</a:t>
                </a:r>
                <a:endParaRPr lang="en-GB" sz="1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644720"/>
        <c:crossesAt val="-6"/>
        <c:crossBetween val="midCat"/>
      </c:valAx>
      <c:valAx>
        <c:axId val="3066447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 b="0" i="0" baseline="0">
                    <a:effectLst/>
                  </a:rPr>
                  <a:t>Ln (</a:t>
                </a:r>
                <a:r>
                  <a:rPr lang="el-GR" sz="1200" b="0" i="0" baseline="0">
                    <a:effectLst/>
                  </a:rPr>
                  <a:t>η</a:t>
                </a:r>
                <a:r>
                  <a:rPr lang="en-GB" sz="1200" b="0" i="0" baseline="0">
                    <a:effectLst/>
                  </a:rPr>
                  <a:t> ̥ / pa.s) </a:t>
                </a:r>
                <a:endParaRPr lang="en-GB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2.5000000000000001E-2"/>
              <c:y val="0.326547098279381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64432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3174622614560023"/>
          <c:y val="0.19632519458127959"/>
          <c:w val="7.153530123227074E-2"/>
          <c:h val="0.2583255426892741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3159850962342"/>
          <c:y val="7.3389501157923864E-2"/>
          <c:w val="0.80904979274305044"/>
          <c:h val="0.75210644922460235"/>
        </c:manualLayout>
      </c:layout>
      <c:scatterChart>
        <c:scatterStyle val="lineMarker"/>
        <c:varyColors val="0"/>
        <c:ser>
          <c:idx val="4"/>
          <c:order val="0"/>
          <c:tx>
            <c:v>15%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'Viscosity vs shear rate @40c '!$A$34:$A$68</c:f>
              <c:numCache>
                <c:formatCode>General</c:formatCode>
                <c:ptCount val="35"/>
                <c:pt idx="0">
                  <c:v>0.1</c:v>
                </c:pt>
                <c:pt idx="1">
                  <c:v>0.12590000000000001</c:v>
                </c:pt>
                <c:pt idx="2">
                  <c:v>0.1585</c:v>
                </c:pt>
                <c:pt idx="3">
                  <c:v>0.19950000000000001</c:v>
                </c:pt>
                <c:pt idx="4">
                  <c:v>0.25119999999999998</c:v>
                </c:pt>
                <c:pt idx="5">
                  <c:v>0.31630000000000003</c:v>
                </c:pt>
                <c:pt idx="6">
                  <c:v>0.39810000000000001</c:v>
                </c:pt>
                <c:pt idx="7">
                  <c:v>0.50119999999999998</c:v>
                </c:pt>
                <c:pt idx="8">
                  <c:v>0.63100000000000001</c:v>
                </c:pt>
                <c:pt idx="9">
                  <c:v>0.7944</c:v>
                </c:pt>
                <c:pt idx="10">
                  <c:v>1</c:v>
                </c:pt>
                <c:pt idx="11">
                  <c:v>1.2589999999999999</c:v>
                </c:pt>
                <c:pt idx="12">
                  <c:v>1.585</c:v>
                </c:pt>
                <c:pt idx="13">
                  <c:v>1.9950000000000001</c:v>
                </c:pt>
                <c:pt idx="14">
                  <c:v>2.512</c:v>
                </c:pt>
                <c:pt idx="15">
                  <c:v>3.1619999999999999</c:v>
                </c:pt>
                <c:pt idx="16">
                  <c:v>3.9809999999999999</c:v>
                </c:pt>
                <c:pt idx="17">
                  <c:v>5.0119999999999996</c:v>
                </c:pt>
                <c:pt idx="18">
                  <c:v>6.31</c:v>
                </c:pt>
                <c:pt idx="19">
                  <c:v>7.944</c:v>
                </c:pt>
                <c:pt idx="20">
                  <c:v>10</c:v>
                </c:pt>
                <c:pt idx="21">
                  <c:v>12.59</c:v>
                </c:pt>
                <c:pt idx="22">
                  <c:v>15.85</c:v>
                </c:pt>
                <c:pt idx="23">
                  <c:v>19.95</c:v>
                </c:pt>
                <c:pt idx="24">
                  <c:v>25.12</c:v>
                </c:pt>
                <c:pt idx="25">
                  <c:v>31.62</c:v>
                </c:pt>
                <c:pt idx="26">
                  <c:v>39.81</c:v>
                </c:pt>
                <c:pt idx="27">
                  <c:v>50.12</c:v>
                </c:pt>
                <c:pt idx="28">
                  <c:v>63.1</c:v>
                </c:pt>
                <c:pt idx="29">
                  <c:v>79.44</c:v>
                </c:pt>
                <c:pt idx="30">
                  <c:v>100</c:v>
                </c:pt>
                <c:pt idx="31">
                  <c:v>125.9</c:v>
                </c:pt>
                <c:pt idx="32">
                  <c:v>158.5</c:v>
                </c:pt>
                <c:pt idx="33">
                  <c:v>199.5</c:v>
                </c:pt>
                <c:pt idx="34">
                  <c:v>200</c:v>
                </c:pt>
              </c:numCache>
            </c:numRef>
          </c:xVal>
          <c:yVal>
            <c:numRef>
              <c:f>'Viscosity vs shear rate @40c '!$F$34:$F$68</c:f>
              <c:numCache>
                <c:formatCode>General</c:formatCode>
                <c:ptCount val="35"/>
                <c:pt idx="0">
                  <c:v>6.4980000000000002</c:v>
                </c:pt>
                <c:pt idx="1">
                  <c:v>6.4943333333333335</c:v>
                </c:pt>
                <c:pt idx="2">
                  <c:v>6.4936666666666669</c:v>
                </c:pt>
                <c:pt idx="3">
                  <c:v>6.4916666666666671</c:v>
                </c:pt>
                <c:pt idx="4">
                  <c:v>6.4876666666666667</c:v>
                </c:pt>
                <c:pt idx="5">
                  <c:v>6.4819999999999993</c:v>
                </c:pt>
                <c:pt idx="6">
                  <c:v>6.4746666666666668</c:v>
                </c:pt>
                <c:pt idx="7">
                  <c:v>6.4683333333333337</c:v>
                </c:pt>
                <c:pt idx="8">
                  <c:v>6.4630000000000001</c:v>
                </c:pt>
                <c:pt idx="9">
                  <c:v>6.4533333333333331</c:v>
                </c:pt>
                <c:pt idx="10">
                  <c:v>6.4409999999999998</c:v>
                </c:pt>
                <c:pt idx="11">
                  <c:v>6.4283333333333337</c:v>
                </c:pt>
                <c:pt idx="12">
                  <c:v>6.4203333333333328</c:v>
                </c:pt>
                <c:pt idx="13">
                  <c:v>6.4083333333333341</c:v>
                </c:pt>
                <c:pt idx="14">
                  <c:v>6.3870000000000005</c:v>
                </c:pt>
                <c:pt idx="15">
                  <c:v>6.3709999999999996</c:v>
                </c:pt>
                <c:pt idx="16">
                  <c:v>6.3526666666666669</c:v>
                </c:pt>
                <c:pt idx="17">
                  <c:v>6.3306666666666667</c:v>
                </c:pt>
                <c:pt idx="18">
                  <c:v>6.3066666666666675</c:v>
                </c:pt>
                <c:pt idx="19">
                  <c:v>6.2833333333333323</c:v>
                </c:pt>
                <c:pt idx="20">
                  <c:v>6.2536666666666676</c:v>
                </c:pt>
                <c:pt idx="21">
                  <c:v>6.2206666666666663</c:v>
                </c:pt>
                <c:pt idx="22">
                  <c:v>6.1873333333333322</c:v>
                </c:pt>
                <c:pt idx="23">
                  <c:v>6.149</c:v>
                </c:pt>
                <c:pt idx="24">
                  <c:v>6.1066666666666665</c:v>
                </c:pt>
                <c:pt idx="25">
                  <c:v>6.057666666666667</c:v>
                </c:pt>
                <c:pt idx="26">
                  <c:v>6.0030000000000001</c:v>
                </c:pt>
                <c:pt idx="27">
                  <c:v>5.9420000000000002</c:v>
                </c:pt>
                <c:pt idx="28">
                  <c:v>5.8730000000000002</c:v>
                </c:pt>
                <c:pt idx="29">
                  <c:v>5.7950000000000008</c:v>
                </c:pt>
                <c:pt idx="30">
                  <c:v>5.7063333333333333</c:v>
                </c:pt>
                <c:pt idx="31">
                  <c:v>5.6046666666666667</c:v>
                </c:pt>
                <c:pt idx="32">
                  <c:v>5.4906666666666668</c:v>
                </c:pt>
                <c:pt idx="33">
                  <c:v>5.3569999999999993</c:v>
                </c:pt>
                <c:pt idx="34">
                  <c:v>5.2903333333333338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A67-4E0C-A448-19AD7796B430}"/>
            </c:ext>
          </c:extLst>
        </c:ser>
        <c:ser>
          <c:idx val="3"/>
          <c:order val="1"/>
          <c:tx>
            <c:v>10%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'Viscosity vs shear rate @40c '!$A$34:$A$68</c:f>
              <c:numCache>
                <c:formatCode>General</c:formatCode>
                <c:ptCount val="35"/>
                <c:pt idx="0">
                  <c:v>0.1</c:v>
                </c:pt>
                <c:pt idx="1">
                  <c:v>0.12590000000000001</c:v>
                </c:pt>
                <c:pt idx="2">
                  <c:v>0.1585</c:v>
                </c:pt>
                <c:pt idx="3">
                  <c:v>0.19950000000000001</c:v>
                </c:pt>
                <c:pt idx="4">
                  <c:v>0.25119999999999998</c:v>
                </c:pt>
                <c:pt idx="5">
                  <c:v>0.31630000000000003</c:v>
                </c:pt>
                <c:pt idx="6">
                  <c:v>0.39810000000000001</c:v>
                </c:pt>
                <c:pt idx="7">
                  <c:v>0.50119999999999998</c:v>
                </c:pt>
                <c:pt idx="8">
                  <c:v>0.63100000000000001</c:v>
                </c:pt>
                <c:pt idx="9">
                  <c:v>0.7944</c:v>
                </c:pt>
                <c:pt idx="10">
                  <c:v>1</c:v>
                </c:pt>
                <c:pt idx="11">
                  <c:v>1.2589999999999999</c:v>
                </c:pt>
                <c:pt idx="12">
                  <c:v>1.585</c:v>
                </c:pt>
                <c:pt idx="13">
                  <c:v>1.9950000000000001</c:v>
                </c:pt>
                <c:pt idx="14">
                  <c:v>2.512</c:v>
                </c:pt>
                <c:pt idx="15">
                  <c:v>3.1619999999999999</c:v>
                </c:pt>
                <c:pt idx="16">
                  <c:v>3.9809999999999999</c:v>
                </c:pt>
                <c:pt idx="17">
                  <c:v>5.0119999999999996</c:v>
                </c:pt>
                <c:pt idx="18">
                  <c:v>6.31</c:v>
                </c:pt>
                <c:pt idx="19">
                  <c:v>7.944</c:v>
                </c:pt>
                <c:pt idx="20">
                  <c:v>10</c:v>
                </c:pt>
                <c:pt idx="21">
                  <c:v>12.59</c:v>
                </c:pt>
                <c:pt idx="22">
                  <c:v>15.85</c:v>
                </c:pt>
                <c:pt idx="23">
                  <c:v>19.95</c:v>
                </c:pt>
                <c:pt idx="24">
                  <c:v>25.12</c:v>
                </c:pt>
                <c:pt idx="25">
                  <c:v>31.62</c:v>
                </c:pt>
                <c:pt idx="26">
                  <c:v>39.81</c:v>
                </c:pt>
                <c:pt idx="27">
                  <c:v>50.12</c:v>
                </c:pt>
                <c:pt idx="28">
                  <c:v>63.1</c:v>
                </c:pt>
                <c:pt idx="29">
                  <c:v>79.44</c:v>
                </c:pt>
                <c:pt idx="30">
                  <c:v>100</c:v>
                </c:pt>
                <c:pt idx="31">
                  <c:v>125.9</c:v>
                </c:pt>
                <c:pt idx="32">
                  <c:v>158.5</c:v>
                </c:pt>
                <c:pt idx="33">
                  <c:v>199.5</c:v>
                </c:pt>
                <c:pt idx="34">
                  <c:v>200</c:v>
                </c:pt>
              </c:numCache>
            </c:numRef>
          </c:xVal>
          <c:yVal>
            <c:numRef>
              <c:f>'Viscosity vs shear rate @40c '!$E$34:$E$68</c:f>
              <c:numCache>
                <c:formatCode>General</c:formatCode>
                <c:ptCount val="35"/>
                <c:pt idx="0">
                  <c:v>2.4580000000000002</c:v>
                </c:pt>
                <c:pt idx="1">
                  <c:v>2.4606666666666666</c:v>
                </c:pt>
                <c:pt idx="2">
                  <c:v>2.464</c:v>
                </c:pt>
                <c:pt idx="3">
                  <c:v>2.4656666666666669</c:v>
                </c:pt>
                <c:pt idx="4">
                  <c:v>2.4636666666666667</c:v>
                </c:pt>
                <c:pt idx="5">
                  <c:v>2.4590000000000001</c:v>
                </c:pt>
                <c:pt idx="6">
                  <c:v>2.4499999999999997</c:v>
                </c:pt>
                <c:pt idx="7">
                  <c:v>2.4353333333333329</c:v>
                </c:pt>
                <c:pt idx="8">
                  <c:v>2.4236666666666666</c:v>
                </c:pt>
                <c:pt idx="9">
                  <c:v>2.4210000000000003</c:v>
                </c:pt>
                <c:pt idx="10">
                  <c:v>2.424666666666667</c:v>
                </c:pt>
                <c:pt idx="11">
                  <c:v>2.4300000000000002</c:v>
                </c:pt>
                <c:pt idx="12">
                  <c:v>2.4216666666666669</c:v>
                </c:pt>
                <c:pt idx="13">
                  <c:v>2.4213333333333331</c:v>
                </c:pt>
                <c:pt idx="14">
                  <c:v>2.4186666666666667</c:v>
                </c:pt>
                <c:pt idx="15">
                  <c:v>2.4176666666666669</c:v>
                </c:pt>
                <c:pt idx="16">
                  <c:v>2.4140000000000001</c:v>
                </c:pt>
                <c:pt idx="17">
                  <c:v>2.4106666666666663</c:v>
                </c:pt>
                <c:pt idx="18">
                  <c:v>2.4053333333333331</c:v>
                </c:pt>
                <c:pt idx="19">
                  <c:v>2.4010000000000002</c:v>
                </c:pt>
                <c:pt idx="20">
                  <c:v>2.3953333333333333</c:v>
                </c:pt>
                <c:pt idx="21">
                  <c:v>2.3893333333333331</c:v>
                </c:pt>
                <c:pt idx="22">
                  <c:v>2.3826666666666667</c:v>
                </c:pt>
                <c:pt idx="23">
                  <c:v>2.375666666666667</c:v>
                </c:pt>
                <c:pt idx="24">
                  <c:v>2.3673333333333333</c:v>
                </c:pt>
                <c:pt idx="25">
                  <c:v>2.3580000000000001</c:v>
                </c:pt>
                <c:pt idx="26">
                  <c:v>2.3473333333333333</c:v>
                </c:pt>
                <c:pt idx="27">
                  <c:v>2.3346666666666667</c:v>
                </c:pt>
                <c:pt idx="28">
                  <c:v>2.3203333333333336</c:v>
                </c:pt>
                <c:pt idx="29">
                  <c:v>2.3049999999999997</c:v>
                </c:pt>
                <c:pt idx="30">
                  <c:v>2.2873333333333332</c:v>
                </c:pt>
                <c:pt idx="31">
                  <c:v>2.2669999999999999</c:v>
                </c:pt>
                <c:pt idx="32">
                  <c:v>2.2450000000000001</c:v>
                </c:pt>
                <c:pt idx="33">
                  <c:v>2.218</c:v>
                </c:pt>
                <c:pt idx="34">
                  <c:v>2.2133333333333334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A67-4E0C-A448-19AD7796B430}"/>
            </c:ext>
          </c:extLst>
        </c:ser>
        <c:ser>
          <c:idx val="2"/>
          <c:order val="2"/>
          <c:tx>
            <c:v>5%</c:v>
          </c:tx>
          <c:spPr>
            <a:ln w="19050" cap="rnd">
              <a:noFill/>
              <a:round/>
            </a:ln>
            <a:effectLst/>
          </c:spPr>
          <c:marker>
            <c:symbol val="star"/>
            <c:size val="8"/>
            <c:spPr>
              <a:noFill/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'Viscosity vs shear rate @40c '!$A$34:$A$68</c:f>
              <c:numCache>
                <c:formatCode>General</c:formatCode>
                <c:ptCount val="35"/>
                <c:pt idx="0">
                  <c:v>0.1</c:v>
                </c:pt>
                <c:pt idx="1">
                  <c:v>0.12590000000000001</c:v>
                </c:pt>
                <c:pt idx="2">
                  <c:v>0.1585</c:v>
                </c:pt>
                <c:pt idx="3">
                  <c:v>0.19950000000000001</c:v>
                </c:pt>
                <c:pt idx="4">
                  <c:v>0.25119999999999998</c:v>
                </c:pt>
                <c:pt idx="5">
                  <c:v>0.31630000000000003</c:v>
                </c:pt>
                <c:pt idx="6">
                  <c:v>0.39810000000000001</c:v>
                </c:pt>
                <c:pt idx="7">
                  <c:v>0.50119999999999998</c:v>
                </c:pt>
                <c:pt idx="8">
                  <c:v>0.63100000000000001</c:v>
                </c:pt>
                <c:pt idx="9">
                  <c:v>0.7944</c:v>
                </c:pt>
                <c:pt idx="10">
                  <c:v>1</c:v>
                </c:pt>
                <c:pt idx="11">
                  <c:v>1.2589999999999999</c:v>
                </c:pt>
                <c:pt idx="12">
                  <c:v>1.585</c:v>
                </c:pt>
                <c:pt idx="13">
                  <c:v>1.9950000000000001</c:v>
                </c:pt>
                <c:pt idx="14">
                  <c:v>2.512</c:v>
                </c:pt>
                <c:pt idx="15">
                  <c:v>3.1619999999999999</c:v>
                </c:pt>
                <c:pt idx="16">
                  <c:v>3.9809999999999999</c:v>
                </c:pt>
                <c:pt idx="17">
                  <c:v>5.0119999999999996</c:v>
                </c:pt>
                <c:pt idx="18">
                  <c:v>6.31</c:v>
                </c:pt>
                <c:pt idx="19">
                  <c:v>7.944</c:v>
                </c:pt>
                <c:pt idx="20">
                  <c:v>10</c:v>
                </c:pt>
                <c:pt idx="21">
                  <c:v>12.59</c:v>
                </c:pt>
                <c:pt idx="22">
                  <c:v>15.85</c:v>
                </c:pt>
                <c:pt idx="23">
                  <c:v>19.95</c:v>
                </c:pt>
                <c:pt idx="24">
                  <c:v>25.12</c:v>
                </c:pt>
                <c:pt idx="25">
                  <c:v>31.62</c:v>
                </c:pt>
                <c:pt idx="26">
                  <c:v>39.81</c:v>
                </c:pt>
                <c:pt idx="27">
                  <c:v>50.12</c:v>
                </c:pt>
                <c:pt idx="28">
                  <c:v>63.1</c:v>
                </c:pt>
                <c:pt idx="29">
                  <c:v>79.44</c:v>
                </c:pt>
                <c:pt idx="30">
                  <c:v>100</c:v>
                </c:pt>
                <c:pt idx="31">
                  <c:v>125.9</c:v>
                </c:pt>
                <c:pt idx="32">
                  <c:v>158.5</c:v>
                </c:pt>
                <c:pt idx="33">
                  <c:v>199.5</c:v>
                </c:pt>
                <c:pt idx="34">
                  <c:v>200</c:v>
                </c:pt>
              </c:numCache>
            </c:numRef>
          </c:xVal>
          <c:yVal>
            <c:numRef>
              <c:f>'Viscosity vs shear rate @40c '!$D$34:$D$68</c:f>
              <c:numCache>
                <c:formatCode>General</c:formatCode>
                <c:ptCount val="35"/>
                <c:pt idx="0">
                  <c:v>0.48849999999999999</c:v>
                </c:pt>
                <c:pt idx="1">
                  <c:v>0.4839</c:v>
                </c:pt>
                <c:pt idx="2">
                  <c:v>0.48469999999999996</c:v>
                </c:pt>
                <c:pt idx="3">
                  <c:v>0.4821333333333333</c:v>
                </c:pt>
                <c:pt idx="4">
                  <c:v>0.47976666666666667</c:v>
                </c:pt>
                <c:pt idx="5">
                  <c:v>0.47749999999999998</c:v>
                </c:pt>
                <c:pt idx="6">
                  <c:v>0.47489999999999993</c:v>
                </c:pt>
                <c:pt idx="7">
                  <c:v>0.47160000000000002</c:v>
                </c:pt>
                <c:pt idx="8">
                  <c:v>0.47143333333333332</c:v>
                </c:pt>
                <c:pt idx="9">
                  <c:v>0.4738</c:v>
                </c:pt>
                <c:pt idx="10">
                  <c:v>0.47520000000000001</c:v>
                </c:pt>
                <c:pt idx="11">
                  <c:v>0.47456666666666664</c:v>
                </c:pt>
                <c:pt idx="12">
                  <c:v>0.47273333333333339</c:v>
                </c:pt>
                <c:pt idx="13">
                  <c:v>0.47449999999999998</c:v>
                </c:pt>
                <c:pt idx="14">
                  <c:v>0.47320000000000001</c:v>
                </c:pt>
                <c:pt idx="15">
                  <c:v>0.47403333333333331</c:v>
                </c:pt>
                <c:pt idx="16">
                  <c:v>0.47399999999999998</c:v>
                </c:pt>
                <c:pt idx="17">
                  <c:v>0.47370000000000001</c:v>
                </c:pt>
                <c:pt idx="18">
                  <c:v>0.4733</c:v>
                </c:pt>
                <c:pt idx="19">
                  <c:v>0.47333333333333333</c:v>
                </c:pt>
                <c:pt idx="20">
                  <c:v>0.47316666666666668</c:v>
                </c:pt>
                <c:pt idx="21">
                  <c:v>0.47290000000000004</c:v>
                </c:pt>
                <c:pt idx="22">
                  <c:v>0.47256666666666663</c:v>
                </c:pt>
                <c:pt idx="23">
                  <c:v>0.47223333333333334</c:v>
                </c:pt>
                <c:pt idx="24">
                  <c:v>0.47183333333333333</c:v>
                </c:pt>
                <c:pt idx="25">
                  <c:v>0.47136666666666666</c:v>
                </c:pt>
                <c:pt idx="26">
                  <c:v>0.47069999999999995</c:v>
                </c:pt>
                <c:pt idx="27">
                  <c:v>0.46986666666666665</c:v>
                </c:pt>
                <c:pt idx="28">
                  <c:v>0.46866666666666662</c:v>
                </c:pt>
                <c:pt idx="29">
                  <c:v>0.46710000000000002</c:v>
                </c:pt>
                <c:pt idx="30">
                  <c:v>0.46609999999999996</c:v>
                </c:pt>
                <c:pt idx="31">
                  <c:v>0.46193333333333331</c:v>
                </c:pt>
                <c:pt idx="32">
                  <c:v>0.45933333333333337</c:v>
                </c:pt>
                <c:pt idx="33">
                  <c:v>0.45789999999999997</c:v>
                </c:pt>
                <c:pt idx="34">
                  <c:v>0.45689999999999992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A67-4E0C-A448-19AD7796B430}"/>
            </c:ext>
          </c:extLst>
        </c:ser>
        <c:ser>
          <c:idx val="1"/>
          <c:order val="3"/>
          <c:tx>
            <c:v>3%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'Viscosity vs shear rate @40c '!$A$34:$A$68</c:f>
              <c:numCache>
                <c:formatCode>General</c:formatCode>
                <c:ptCount val="35"/>
                <c:pt idx="0">
                  <c:v>0.1</c:v>
                </c:pt>
                <c:pt idx="1">
                  <c:v>0.12590000000000001</c:v>
                </c:pt>
                <c:pt idx="2">
                  <c:v>0.1585</c:v>
                </c:pt>
                <c:pt idx="3">
                  <c:v>0.19950000000000001</c:v>
                </c:pt>
                <c:pt idx="4">
                  <c:v>0.25119999999999998</c:v>
                </c:pt>
                <c:pt idx="5">
                  <c:v>0.31630000000000003</c:v>
                </c:pt>
                <c:pt idx="6">
                  <c:v>0.39810000000000001</c:v>
                </c:pt>
                <c:pt idx="7">
                  <c:v>0.50119999999999998</c:v>
                </c:pt>
                <c:pt idx="8">
                  <c:v>0.63100000000000001</c:v>
                </c:pt>
                <c:pt idx="9">
                  <c:v>0.7944</c:v>
                </c:pt>
                <c:pt idx="10">
                  <c:v>1</c:v>
                </c:pt>
                <c:pt idx="11">
                  <c:v>1.2589999999999999</c:v>
                </c:pt>
                <c:pt idx="12">
                  <c:v>1.585</c:v>
                </c:pt>
                <c:pt idx="13">
                  <c:v>1.9950000000000001</c:v>
                </c:pt>
                <c:pt idx="14">
                  <c:v>2.512</c:v>
                </c:pt>
                <c:pt idx="15">
                  <c:v>3.1619999999999999</c:v>
                </c:pt>
                <c:pt idx="16">
                  <c:v>3.9809999999999999</c:v>
                </c:pt>
                <c:pt idx="17">
                  <c:v>5.0119999999999996</c:v>
                </c:pt>
                <c:pt idx="18">
                  <c:v>6.31</c:v>
                </c:pt>
                <c:pt idx="19">
                  <c:v>7.944</c:v>
                </c:pt>
                <c:pt idx="20">
                  <c:v>10</c:v>
                </c:pt>
                <c:pt idx="21">
                  <c:v>12.59</c:v>
                </c:pt>
                <c:pt idx="22">
                  <c:v>15.85</c:v>
                </c:pt>
                <c:pt idx="23">
                  <c:v>19.95</c:v>
                </c:pt>
                <c:pt idx="24">
                  <c:v>25.12</c:v>
                </c:pt>
                <c:pt idx="25">
                  <c:v>31.62</c:v>
                </c:pt>
                <c:pt idx="26">
                  <c:v>39.81</c:v>
                </c:pt>
                <c:pt idx="27">
                  <c:v>50.12</c:v>
                </c:pt>
                <c:pt idx="28">
                  <c:v>63.1</c:v>
                </c:pt>
                <c:pt idx="29">
                  <c:v>79.44</c:v>
                </c:pt>
                <c:pt idx="30">
                  <c:v>100</c:v>
                </c:pt>
                <c:pt idx="31">
                  <c:v>125.9</c:v>
                </c:pt>
                <c:pt idx="32">
                  <c:v>158.5</c:v>
                </c:pt>
                <c:pt idx="33">
                  <c:v>199.5</c:v>
                </c:pt>
                <c:pt idx="34">
                  <c:v>200</c:v>
                </c:pt>
              </c:numCache>
            </c:numRef>
          </c:xVal>
          <c:yVal>
            <c:numRef>
              <c:f>'Viscosity vs shear rate @40c '!$C$34:$C$68</c:f>
              <c:numCache>
                <c:formatCode>General</c:formatCode>
                <c:ptCount val="35"/>
                <c:pt idx="0">
                  <c:v>0.22186666666666668</c:v>
                </c:pt>
                <c:pt idx="1">
                  <c:v>0.21876666666666666</c:v>
                </c:pt>
                <c:pt idx="2">
                  <c:v>0.21833333333333335</c:v>
                </c:pt>
                <c:pt idx="3">
                  <c:v>0.219</c:v>
                </c:pt>
                <c:pt idx="4">
                  <c:v>0.21870000000000001</c:v>
                </c:pt>
                <c:pt idx="5">
                  <c:v>0.21953333333333336</c:v>
                </c:pt>
                <c:pt idx="6">
                  <c:v>0.21960000000000002</c:v>
                </c:pt>
                <c:pt idx="7">
                  <c:v>0.21893333333333331</c:v>
                </c:pt>
                <c:pt idx="8">
                  <c:v>0.21936666666666668</c:v>
                </c:pt>
                <c:pt idx="9">
                  <c:v>0.22040000000000001</c:v>
                </c:pt>
                <c:pt idx="10">
                  <c:v>0.21953333333333333</c:v>
                </c:pt>
                <c:pt idx="11">
                  <c:v>0.21870000000000001</c:v>
                </c:pt>
                <c:pt idx="12">
                  <c:v>0.21889999999999998</c:v>
                </c:pt>
                <c:pt idx="13">
                  <c:v>0.21956666666666666</c:v>
                </c:pt>
                <c:pt idx="14">
                  <c:v>0.21883333333333332</c:v>
                </c:pt>
                <c:pt idx="15">
                  <c:v>0.21906666666666666</c:v>
                </c:pt>
                <c:pt idx="16">
                  <c:v>0.21866666666666668</c:v>
                </c:pt>
                <c:pt idx="17">
                  <c:v>0.21873333333333334</c:v>
                </c:pt>
                <c:pt idx="18">
                  <c:v>0.21860000000000002</c:v>
                </c:pt>
                <c:pt idx="19">
                  <c:v>0.21860000000000002</c:v>
                </c:pt>
                <c:pt idx="20">
                  <c:v>0.21859999999999999</c:v>
                </c:pt>
                <c:pt idx="21">
                  <c:v>0.21853333333333333</c:v>
                </c:pt>
                <c:pt idx="22">
                  <c:v>0.21843333333333334</c:v>
                </c:pt>
                <c:pt idx="23">
                  <c:v>0.21836666666666668</c:v>
                </c:pt>
                <c:pt idx="24">
                  <c:v>0.21826666666666669</c:v>
                </c:pt>
                <c:pt idx="25">
                  <c:v>0.21816666666666665</c:v>
                </c:pt>
                <c:pt idx="26">
                  <c:v>0.21809999999999999</c:v>
                </c:pt>
                <c:pt idx="27">
                  <c:v>0.21796666666666667</c:v>
                </c:pt>
                <c:pt idx="28">
                  <c:v>0.21776666666666666</c:v>
                </c:pt>
                <c:pt idx="29">
                  <c:v>0.21740000000000004</c:v>
                </c:pt>
                <c:pt idx="30">
                  <c:v>0.21686666666666668</c:v>
                </c:pt>
                <c:pt idx="31">
                  <c:v>0.21623333333333336</c:v>
                </c:pt>
                <c:pt idx="32">
                  <c:v>0.21583333333333332</c:v>
                </c:pt>
                <c:pt idx="33">
                  <c:v>0.21613333333333337</c:v>
                </c:pt>
                <c:pt idx="34">
                  <c:v>0.21583333333333332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A67-4E0C-A448-19AD7796B430}"/>
            </c:ext>
          </c:extLst>
        </c:ser>
        <c:ser>
          <c:idx val="0"/>
          <c:order val="4"/>
          <c:tx>
            <c:v>1%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'Viscosity vs shear rate @40c '!$A$34:$A$68</c:f>
              <c:numCache>
                <c:formatCode>General</c:formatCode>
                <c:ptCount val="35"/>
                <c:pt idx="0">
                  <c:v>0.1</c:v>
                </c:pt>
                <c:pt idx="1">
                  <c:v>0.12590000000000001</c:v>
                </c:pt>
                <c:pt idx="2">
                  <c:v>0.1585</c:v>
                </c:pt>
                <c:pt idx="3">
                  <c:v>0.19950000000000001</c:v>
                </c:pt>
                <c:pt idx="4">
                  <c:v>0.25119999999999998</c:v>
                </c:pt>
                <c:pt idx="5">
                  <c:v>0.31630000000000003</c:v>
                </c:pt>
                <c:pt idx="6">
                  <c:v>0.39810000000000001</c:v>
                </c:pt>
                <c:pt idx="7">
                  <c:v>0.50119999999999998</c:v>
                </c:pt>
                <c:pt idx="8">
                  <c:v>0.63100000000000001</c:v>
                </c:pt>
                <c:pt idx="9">
                  <c:v>0.7944</c:v>
                </c:pt>
                <c:pt idx="10">
                  <c:v>1</c:v>
                </c:pt>
                <c:pt idx="11">
                  <c:v>1.2589999999999999</c:v>
                </c:pt>
                <c:pt idx="12">
                  <c:v>1.585</c:v>
                </c:pt>
                <c:pt idx="13">
                  <c:v>1.9950000000000001</c:v>
                </c:pt>
                <c:pt idx="14">
                  <c:v>2.512</c:v>
                </c:pt>
                <c:pt idx="15">
                  <c:v>3.1619999999999999</c:v>
                </c:pt>
                <c:pt idx="16">
                  <c:v>3.9809999999999999</c:v>
                </c:pt>
                <c:pt idx="17">
                  <c:v>5.0119999999999996</c:v>
                </c:pt>
                <c:pt idx="18">
                  <c:v>6.31</c:v>
                </c:pt>
                <c:pt idx="19">
                  <c:v>7.944</c:v>
                </c:pt>
                <c:pt idx="20">
                  <c:v>10</c:v>
                </c:pt>
                <c:pt idx="21">
                  <c:v>12.59</c:v>
                </c:pt>
                <c:pt idx="22">
                  <c:v>15.85</c:v>
                </c:pt>
                <c:pt idx="23">
                  <c:v>19.95</c:v>
                </c:pt>
                <c:pt idx="24">
                  <c:v>25.12</c:v>
                </c:pt>
                <c:pt idx="25">
                  <c:v>31.62</c:v>
                </c:pt>
                <c:pt idx="26">
                  <c:v>39.81</c:v>
                </c:pt>
                <c:pt idx="27">
                  <c:v>50.12</c:v>
                </c:pt>
                <c:pt idx="28">
                  <c:v>63.1</c:v>
                </c:pt>
                <c:pt idx="29">
                  <c:v>79.44</c:v>
                </c:pt>
                <c:pt idx="30">
                  <c:v>100</c:v>
                </c:pt>
                <c:pt idx="31">
                  <c:v>125.9</c:v>
                </c:pt>
                <c:pt idx="32">
                  <c:v>158.5</c:v>
                </c:pt>
                <c:pt idx="33">
                  <c:v>199.5</c:v>
                </c:pt>
                <c:pt idx="34">
                  <c:v>200</c:v>
                </c:pt>
              </c:numCache>
            </c:numRef>
          </c:xVal>
          <c:yVal>
            <c:numRef>
              <c:f>'Viscosity vs shear rate @40c '!$B$34:$B$68</c:f>
              <c:numCache>
                <c:formatCode>General</c:formatCode>
                <c:ptCount val="35"/>
                <c:pt idx="0">
                  <c:v>0.11161</c:v>
                </c:pt>
                <c:pt idx="1">
                  <c:v>0.1168725</c:v>
                </c:pt>
                <c:pt idx="2">
                  <c:v>0.12274</c:v>
                </c:pt>
                <c:pt idx="3">
                  <c:v>0.12392500000000001</c:v>
                </c:pt>
                <c:pt idx="4">
                  <c:v>0.12432499999999999</c:v>
                </c:pt>
                <c:pt idx="5">
                  <c:v>0.1231275</c:v>
                </c:pt>
                <c:pt idx="6">
                  <c:v>0.12102250000000001</c:v>
                </c:pt>
                <c:pt idx="7">
                  <c:v>0.11766</c:v>
                </c:pt>
                <c:pt idx="8">
                  <c:v>0.11355749999999999</c:v>
                </c:pt>
                <c:pt idx="9">
                  <c:v>0.110625</c:v>
                </c:pt>
                <c:pt idx="10">
                  <c:v>0.11053499999999999</c:v>
                </c:pt>
                <c:pt idx="11">
                  <c:v>0.11172000000000001</c:v>
                </c:pt>
                <c:pt idx="12">
                  <c:v>0.11097499999999999</c:v>
                </c:pt>
                <c:pt idx="13">
                  <c:v>0.11019749999999999</c:v>
                </c:pt>
                <c:pt idx="14">
                  <c:v>0.11058</c:v>
                </c:pt>
                <c:pt idx="15">
                  <c:v>0.11034999999999999</c:v>
                </c:pt>
                <c:pt idx="16">
                  <c:v>0.1100575</c:v>
                </c:pt>
                <c:pt idx="17">
                  <c:v>0.11005999999999999</c:v>
                </c:pt>
                <c:pt idx="18">
                  <c:v>0.11007</c:v>
                </c:pt>
                <c:pt idx="19">
                  <c:v>0.1100225</c:v>
                </c:pt>
                <c:pt idx="20">
                  <c:v>0.11003499999999999</c:v>
                </c:pt>
                <c:pt idx="21">
                  <c:v>0.11003499999999999</c:v>
                </c:pt>
                <c:pt idx="22">
                  <c:v>0.11001999999999999</c:v>
                </c:pt>
                <c:pt idx="23">
                  <c:v>0.110065</c:v>
                </c:pt>
                <c:pt idx="24">
                  <c:v>0.11008499999999999</c:v>
                </c:pt>
                <c:pt idx="25">
                  <c:v>0.1101075</c:v>
                </c:pt>
                <c:pt idx="26">
                  <c:v>0.110155</c:v>
                </c:pt>
                <c:pt idx="27">
                  <c:v>0.11013249999999999</c:v>
                </c:pt>
                <c:pt idx="28">
                  <c:v>0.11008499999999999</c:v>
                </c:pt>
                <c:pt idx="29">
                  <c:v>0.11007749999999999</c:v>
                </c:pt>
                <c:pt idx="30">
                  <c:v>0.11003250000000001</c:v>
                </c:pt>
                <c:pt idx="31">
                  <c:v>0.10797333333333332</c:v>
                </c:pt>
                <c:pt idx="32">
                  <c:v>0.10785666666666667</c:v>
                </c:pt>
                <c:pt idx="33">
                  <c:v>0.10793999999999999</c:v>
                </c:pt>
                <c:pt idx="34">
                  <c:v>0.10793666666666668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A67-4E0C-A448-19AD7796B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6645504"/>
        <c:axId val="307719584"/>
      </c:scatterChart>
      <c:valAx>
        <c:axId val="306645504"/>
        <c:scaling>
          <c:logBase val="10"/>
          <c:orientation val="minMax"/>
          <c:min val="1.0000000000000002E-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0" i="0" baseline="0">
                    <a:effectLst/>
                  </a:rPr>
                  <a:t>Shear rate/ s ̄ ¹</a:t>
                </a:r>
                <a:endParaRPr lang="en-GB" sz="8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42123314017326124"/>
              <c:y val="0.918256994283919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719584"/>
        <c:crossesAt val="1.0000000000000002E-2"/>
        <c:crossBetween val="midCat"/>
      </c:valAx>
      <c:valAx>
        <c:axId val="307719584"/>
        <c:scaling>
          <c:logBase val="10"/>
          <c:orientation val="minMax"/>
          <c:max val="10"/>
          <c:min val="1.0000000000000002E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sz="1400" b="0" i="0" baseline="0">
                    <a:effectLst/>
                  </a:rPr>
                  <a:t>η˳</a:t>
                </a:r>
                <a:r>
                  <a:rPr lang="en-GB" sz="1400" b="0" i="0" baseline="0">
                    <a:effectLst/>
                  </a:rPr>
                  <a:t> /pa.s</a:t>
                </a:r>
                <a:endParaRPr lang="en-GB" sz="8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2.8645900353155144E-4"/>
              <c:y val="0.287392096821230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645504"/>
        <c:crossesAt val="1.0000000000000002E-2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5387339340149859"/>
          <c:y val="7.3412711659587432E-2"/>
          <c:w val="8.2345298308208248E-2"/>
          <c:h val="0.549227344453058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93870619113784"/>
          <c:y val="3.9253652615456956E-2"/>
          <c:w val="0.78301293836067853"/>
          <c:h val="0.67107146006438023"/>
        </c:manualLayout>
      </c:layout>
      <c:scatterChart>
        <c:scatterStyle val="lineMarker"/>
        <c:varyColors val="0"/>
        <c:ser>
          <c:idx val="0"/>
          <c:order val="0"/>
          <c:tx>
            <c:v>Xylan 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'Activ energy of viscos, T1&amp;T2 '!$A$6:$A$11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</c:numCache>
            </c:numRef>
          </c:xVal>
          <c:yVal>
            <c:numRef>
              <c:f>'Activ energy of viscos, T1&amp;T2 '!$B$6:$B$11</c:f>
              <c:numCache>
                <c:formatCode>0</c:formatCode>
                <c:ptCount val="6"/>
                <c:pt idx="0">
                  <c:v>40.00900634842634</c:v>
                </c:pt>
                <c:pt idx="1">
                  <c:v>39.360640587806799</c:v>
                </c:pt>
                <c:pt idx="2">
                  <c:v>48.816826361089902</c:v>
                </c:pt>
                <c:pt idx="3">
                  <c:v>54.417289151086898</c:v>
                </c:pt>
                <c:pt idx="4">
                  <c:v>61.285440393468022</c:v>
                </c:pt>
                <c:pt idx="5">
                  <c:v>69.961128054101209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008-4201-940D-1F5875628DE9}"/>
            </c:ext>
          </c:extLst>
        </c:ser>
        <c:ser>
          <c:idx val="1"/>
          <c:order val="1"/>
          <c:tx>
            <c:v>Cellulose 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'Activ energy of viscos, T1&amp;T2 '!$D$6:$D$10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</c:numCache>
            </c:numRef>
          </c:xVal>
          <c:yVal>
            <c:numRef>
              <c:f>'Activ energy of viscos, T1&amp;T2 '!$E$6:$E$10</c:f>
              <c:numCache>
                <c:formatCode>0</c:formatCode>
                <c:ptCount val="5"/>
                <c:pt idx="0">
                  <c:v>40.00900634842634</c:v>
                </c:pt>
                <c:pt idx="1">
                  <c:v>44.391181269640079</c:v>
                </c:pt>
                <c:pt idx="2">
                  <c:v>53.089736197390629</c:v>
                </c:pt>
                <c:pt idx="3">
                  <c:v>63.502952459859692</c:v>
                </c:pt>
                <c:pt idx="4">
                  <c:v>71.351763869769513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008-4201-940D-1F5875628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7720368"/>
        <c:axId val="307720760"/>
      </c:scatterChart>
      <c:valAx>
        <c:axId val="307720368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 b="0" i="0" baseline="0">
                    <a:effectLst/>
                  </a:rPr>
                  <a:t>Carboyhdrates weight fraction (wt%) </a:t>
                </a:r>
                <a:endParaRPr lang="en-GB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0.38401428328246301"/>
              <c:y val="0.806018569712684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720760"/>
        <c:crosses val="autoZero"/>
        <c:crossBetween val="midCat"/>
        <c:majorUnit val="4"/>
      </c:valAx>
      <c:valAx>
        <c:axId val="307720760"/>
        <c:scaling>
          <c:orientation val="minMax"/>
          <c:max val="80"/>
          <c:min val="1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 b="0" i="0" baseline="0">
                    <a:effectLst/>
                  </a:rPr>
                  <a:t>Ea (</a:t>
                </a:r>
                <a:r>
                  <a:rPr lang="el-GR" sz="12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η</a:t>
                </a:r>
                <a:r>
                  <a:rPr lang="en-GB" sz="12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, </a:t>
                </a:r>
                <a:r>
                  <a:rPr lang="en-GB" sz="1200" b="0" i="0" baseline="0">
                    <a:effectLst/>
                  </a:rPr>
                  <a:t>KJ/mol)</a:t>
                </a:r>
                <a:endParaRPr lang="en-GB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2.9658492688413949E-2"/>
              <c:y val="0.272799054568440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720368"/>
        <c:crosses val="autoZero"/>
        <c:crossBetween val="midCat"/>
        <c:majorUnit val="20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79467110664030427"/>
          <c:y val="0.27858590285677864"/>
          <c:w val="0.1368022169035038"/>
          <c:h val="0.129365985415931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61614173228345"/>
          <c:y val="4.5584988126725151E-2"/>
          <c:w val="0.68775706345530341"/>
          <c:h val="0.7605480519616677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xVal>
            <c:numRef>
              <c:f>'Activ energy of viscos, T1&amp;T2 '!$A$23:$A$28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</c:numCache>
            </c:numRef>
          </c:xVal>
          <c:yVal>
            <c:numRef>
              <c:f>'Activ energy of viscos, T1&amp;T2 '!$B$23:$B$28</c:f>
              <c:numCache>
                <c:formatCode>0</c:formatCode>
                <c:ptCount val="6"/>
                <c:pt idx="0">
                  <c:v>30.915980635823306</c:v>
                </c:pt>
                <c:pt idx="1">
                  <c:v>32.041346186899105</c:v>
                </c:pt>
                <c:pt idx="2">
                  <c:v>29.722705201597552</c:v>
                </c:pt>
                <c:pt idx="3">
                  <c:v>32.569392704619354</c:v>
                </c:pt>
                <c:pt idx="4">
                  <c:v>26.385408075098621</c:v>
                </c:pt>
                <c:pt idx="5">
                  <c:v>23.293169244896621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DD3-4ED1-B40B-FAC9260CB24E}"/>
            </c:ext>
          </c:extLst>
        </c:ser>
        <c:ser>
          <c:idx val="1"/>
          <c:order val="1"/>
          <c:tx>
            <c:v>Cellulose 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'Activ energy of viscos, T1&amp;T2 '!$A$23:$A$28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</c:numCache>
            </c:numRef>
          </c:xVal>
          <c:yVal>
            <c:numRef>
              <c:f>'Activ energy of viscos, T1&amp;T2 '!$D$23:$D$28</c:f>
              <c:numCache>
                <c:formatCode>General</c:formatCode>
                <c:ptCount val="6"/>
                <c:pt idx="0">
                  <c:v>30.806053955248252</c:v>
                </c:pt>
                <c:pt idx="1">
                  <c:v>29.824105359941687</c:v>
                </c:pt>
                <c:pt idx="2">
                  <c:v>30.61331200622978</c:v>
                </c:pt>
                <c:pt idx="3">
                  <c:v>27.301490385546749</c:v>
                </c:pt>
                <c:pt idx="4">
                  <c:v>30.434373247011226</c:v>
                </c:pt>
                <c:pt idx="5">
                  <c:v>24.518544099561264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DD3-4ED1-B40B-FAC9260CB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7721544"/>
        <c:axId val="307721936"/>
      </c:scatterChart>
      <c:valAx>
        <c:axId val="3077215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 b="0" i="0" baseline="0">
                    <a:effectLst/>
                  </a:rPr>
                  <a:t>Carboyhdrates weight fraction (wt%) </a:t>
                </a:r>
                <a:endParaRPr lang="en-GB" sz="1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721936"/>
        <c:crossesAt val="10"/>
        <c:crossBetween val="midCat"/>
      </c:valAx>
      <c:valAx>
        <c:axId val="307721936"/>
        <c:scaling>
          <c:orientation val="minMax"/>
          <c:min val="1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 b="0" i="0" baseline="0">
                    <a:effectLst/>
                  </a:rPr>
                  <a:t>Ea (</a:t>
                </a:r>
                <a:r>
                  <a:rPr lang="en-GB" sz="1200" b="0" i="1" baseline="0">
                    <a:effectLst/>
                  </a:rPr>
                  <a:t>T1</a:t>
                </a:r>
                <a:r>
                  <a:rPr lang="en-GB" sz="1200" b="0" i="0" baseline="0">
                    <a:effectLst/>
                  </a:rPr>
                  <a:t>, KJ/mol)</a:t>
                </a:r>
                <a:endParaRPr lang="en-GB" sz="1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721544"/>
        <c:crossesAt val="0"/>
        <c:crossBetween val="midCat"/>
        <c:majorUnit val="10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5962810714837117"/>
          <c:y val="8.6222341560073176E-2"/>
          <c:w val="0.12468561834182491"/>
          <c:h val="0.124827521534689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14555349698938"/>
          <c:y val="4.5584988126725151E-2"/>
          <c:w val="0.80295314188667588"/>
          <c:h val="0.76755626386834053"/>
        </c:manualLayout>
      </c:layout>
      <c:scatterChart>
        <c:scatterStyle val="lineMarker"/>
        <c:varyColors val="0"/>
        <c:ser>
          <c:idx val="0"/>
          <c:order val="0"/>
          <c:tx>
            <c:v>Xylan 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xVal>
            <c:numRef>
              <c:f>'Activ energy of viscos, T1&amp;T2 '!$A$36:$A$41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</c:numCache>
            </c:numRef>
          </c:xVal>
          <c:yVal>
            <c:numRef>
              <c:f>'Activ energy of viscos, T1&amp;T2 '!$B$36:$B$41</c:f>
              <c:numCache>
                <c:formatCode>0</c:formatCode>
                <c:ptCount val="6"/>
                <c:pt idx="0">
                  <c:v>33.373569589480155</c:v>
                </c:pt>
                <c:pt idx="1">
                  <c:v>32.541363854565773</c:v>
                </c:pt>
                <c:pt idx="2">
                  <c:v>31.925301774629922</c:v>
                </c:pt>
                <c:pt idx="3">
                  <c:v>30.776555754992845</c:v>
                </c:pt>
                <c:pt idx="4">
                  <c:v>29.812629217202819</c:v>
                </c:pt>
                <c:pt idx="5">
                  <c:v>31.231912792782211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0B5-43FA-8EB3-1833FF98624B}"/>
            </c:ext>
          </c:extLst>
        </c:ser>
        <c:ser>
          <c:idx val="1"/>
          <c:order val="1"/>
          <c:tx>
            <c:v>Cellulose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'Activ energy of viscos, T1&amp;T2 '!$A$36:$A$41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</c:numCache>
            </c:numRef>
          </c:xVal>
          <c:yVal>
            <c:numRef>
              <c:f>'Activ energy of viscos, T1&amp;T2 '!$D$36:$D$41</c:f>
              <c:numCache>
                <c:formatCode>General</c:formatCode>
                <c:ptCount val="6"/>
                <c:pt idx="0">
                  <c:v>32.654518065433663</c:v>
                </c:pt>
                <c:pt idx="1">
                  <c:v>34.06835867095149</c:v>
                </c:pt>
                <c:pt idx="2">
                  <c:v>35.320755160317574</c:v>
                </c:pt>
                <c:pt idx="3">
                  <c:v>35.050604889577201</c:v>
                </c:pt>
                <c:pt idx="4">
                  <c:v>37.782146719696463</c:v>
                </c:pt>
                <c:pt idx="5">
                  <c:v>44.153568390639521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0B5-43FA-8EB3-1833FF986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7722720"/>
        <c:axId val="307723112"/>
      </c:scatterChart>
      <c:valAx>
        <c:axId val="307722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 b="0" i="0" baseline="0">
                    <a:effectLst/>
                  </a:rPr>
                  <a:t>Carboyhdrates weight fraction (wt%) </a:t>
                </a:r>
                <a:endParaRPr lang="en-GB" sz="1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723112"/>
        <c:crossesAt val="10"/>
        <c:crossBetween val="midCat"/>
      </c:valAx>
      <c:valAx>
        <c:axId val="307723112"/>
        <c:scaling>
          <c:orientation val="minMax"/>
          <c:min val="1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 b="0" i="0" baseline="0">
                    <a:effectLst/>
                  </a:rPr>
                  <a:t>Ea (</a:t>
                </a:r>
                <a:r>
                  <a:rPr lang="en-GB" sz="1200" b="0" i="1" baseline="0">
                    <a:effectLst/>
                  </a:rPr>
                  <a:t>T</a:t>
                </a:r>
                <a:r>
                  <a:rPr lang="en-GB" sz="1000" b="0" i="1" baseline="0">
                    <a:effectLst/>
                  </a:rPr>
                  <a:t>2</a:t>
                </a:r>
                <a:r>
                  <a:rPr lang="en-GB" sz="1000" b="0" i="0" baseline="0">
                    <a:effectLst/>
                  </a:rPr>
                  <a:t>,</a:t>
                </a:r>
                <a:r>
                  <a:rPr lang="en-GB" sz="1200" b="0" i="0" baseline="0">
                    <a:effectLst/>
                  </a:rPr>
                  <a:t> KJ/mol)</a:t>
                </a:r>
                <a:endParaRPr lang="en-GB" sz="1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722720"/>
        <c:crossesAt val="0"/>
        <c:crossBetween val="midCat"/>
        <c:majorUnit val="10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9443202871699869"/>
          <c:y val="0.19475220058593998"/>
          <c:w val="0.14919542226339355"/>
          <c:h val="0.156365075151851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76882706829325"/>
          <c:y val="3.1033811949976845E-2"/>
          <c:w val="0.79028559292010514"/>
          <c:h val="0.78138706191137874"/>
        </c:manualLayout>
      </c:layout>
      <c:scatterChart>
        <c:scatterStyle val="lineMarker"/>
        <c:varyColors val="0"/>
        <c:ser>
          <c:idx val="6"/>
          <c:order val="0"/>
          <c:tx>
            <c:v>0</c:v>
          </c:tx>
          <c:spPr>
            <a:ln w="25400" cap="rnd">
              <a:noFill/>
              <a:round/>
            </a:ln>
            <a:effectLst/>
          </c:spPr>
          <c:marker>
            <c:symbol val="plus"/>
            <c:size val="10"/>
            <c:spPr>
              <a:noFill/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'T1 vs temp over visocsity '!$B$6:$B$9</c:f>
              <c:numCache>
                <c:formatCode>General</c:formatCode>
                <c:ptCount val="4"/>
                <c:pt idx="0">
                  <c:v>3535.6068204613839</c:v>
                </c:pt>
                <c:pt idx="1">
                  <c:v>6118.601016021883</c:v>
                </c:pt>
                <c:pt idx="2">
                  <c:v>9849.1313623895148</c:v>
                </c:pt>
                <c:pt idx="3">
                  <c:v>14616.970866970865</c:v>
                </c:pt>
              </c:numCache>
            </c:numRef>
          </c:xVal>
          <c:yVal>
            <c:numRef>
              <c:f>'T1 vs temp over visocsity '!$C$6:$C$9</c:f>
              <c:numCache>
                <c:formatCode>General</c:formatCode>
                <c:ptCount val="4"/>
                <c:pt idx="0">
                  <c:v>0.15924000000000002</c:v>
                </c:pt>
                <c:pt idx="1">
                  <c:v>0.23308000000000001</c:v>
                </c:pt>
                <c:pt idx="2">
                  <c:v>0.3337</c:v>
                </c:pt>
                <c:pt idx="3">
                  <c:v>0.46533999999999998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71-43D7-8064-8F2F76C2F915}"/>
            </c:ext>
          </c:extLst>
        </c:ser>
        <c:ser>
          <c:idx val="0"/>
          <c:order val="1"/>
          <c:tx>
            <c:v>1%</c:v>
          </c:tx>
          <c:spPr>
            <a:ln w="19050" cap="rnd">
              <a:noFill/>
              <a:round/>
            </a:ln>
            <a:effectLst/>
          </c:spPr>
          <c:marker>
            <c:symbol val="star"/>
            <c:size val="10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'T1 vs temp over visocsity '!$D$6:$D$9</c:f>
              <c:numCache>
                <c:formatCode>General</c:formatCode>
                <c:ptCount val="4"/>
                <c:pt idx="0">
                  <c:v>1573.7340767214114</c:v>
                </c:pt>
                <c:pt idx="1">
                  <c:v>2795.9438690084812</c:v>
                </c:pt>
                <c:pt idx="2">
                  <c:v>4401.9523217277028</c:v>
                </c:pt>
                <c:pt idx="3">
                  <c:v>6439.5735968619647</c:v>
                </c:pt>
              </c:numCache>
            </c:numRef>
          </c:xVal>
          <c:yVal>
            <c:numRef>
              <c:f>'T1 vs temp over visocsity '!$E$6:$E$9</c:f>
              <c:numCache>
                <c:formatCode>General</c:formatCode>
                <c:ptCount val="4"/>
                <c:pt idx="0">
                  <c:v>0.10418000000000001</c:v>
                </c:pt>
                <c:pt idx="1">
                  <c:v>0.16750000000000001</c:v>
                </c:pt>
                <c:pt idx="2">
                  <c:v>0.24224000000000001</c:v>
                </c:pt>
                <c:pt idx="3">
                  <c:v>0.35043999999999997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A71-43D7-8064-8F2F76C2F915}"/>
            </c:ext>
          </c:extLst>
        </c:ser>
        <c:ser>
          <c:idx val="1"/>
          <c:order val="2"/>
          <c:tx>
            <c:v>3%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gradFill>
                <a:gsLst>
                  <a:gs pos="0">
                    <a:srgbClr val="7030A0"/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'T1 vs temp over visocsity '!$F$6:$F$9</c:f>
              <c:numCache>
                <c:formatCode>General</c:formatCode>
                <c:ptCount val="4"/>
                <c:pt idx="0">
                  <c:v>731.34231583168992</c:v>
                </c:pt>
                <c:pt idx="1">
                  <c:v>1431.3646652223233</c:v>
                </c:pt>
                <c:pt idx="2">
                  <c:v>2525.8434062682413</c:v>
                </c:pt>
                <c:pt idx="3">
                  <c:v>4236.1327678197304</c:v>
                </c:pt>
              </c:numCache>
            </c:numRef>
          </c:xVal>
          <c:yVal>
            <c:numRef>
              <c:f>'T1 vs temp over visocsity '!$G$6:$G$9</c:f>
              <c:numCache>
                <c:formatCode>General</c:formatCode>
                <c:ptCount val="4"/>
                <c:pt idx="0">
                  <c:v>7.4590000000000004E-2</c:v>
                </c:pt>
                <c:pt idx="1">
                  <c:v>0.11104</c:v>
                </c:pt>
                <c:pt idx="2">
                  <c:v>0.16153000000000001</c:v>
                </c:pt>
                <c:pt idx="3">
                  <c:v>0.22572999999999999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A71-43D7-8064-8F2F76C2F915}"/>
            </c:ext>
          </c:extLst>
        </c:ser>
        <c:ser>
          <c:idx val="2"/>
          <c:order val="3"/>
          <c:tx>
            <c:v>5%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xVal>
            <c:numRef>
              <c:f>'T1 vs temp over visocsity '!$H$6:$H$9</c:f>
              <c:numCache>
                <c:formatCode>General</c:formatCode>
                <c:ptCount val="4"/>
                <c:pt idx="0">
                  <c:v>310.05670186714997</c:v>
                </c:pt>
                <c:pt idx="1">
                  <c:v>645.27227591989833</c:v>
                </c:pt>
                <c:pt idx="2">
                  <c:v>1247.5694502288738</c:v>
                </c:pt>
                <c:pt idx="3">
                  <c:v>2120.184773162413</c:v>
                </c:pt>
              </c:numCache>
            </c:numRef>
          </c:xVal>
          <c:yVal>
            <c:numRef>
              <c:f>'T1 vs temp over visocsity '!$I$6:$I$9</c:f>
              <c:numCache>
                <c:formatCode>General</c:formatCode>
                <c:ptCount val="4"/>
                <c:pt idx="0">
                  <c:v>6.3150999999999999E-2</c:v>
                </c:pt>
                <c:pt idx="1">
                  <c:v>8.7150000000000005E-2</c:v>
                </c:pt>
                <c:pt idx="2">
                  <c:v>0.11473999999999999</c:v>
                </c:pt>
                <c:pt idx="3">
                  <c:v>0.15738999999999997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A71-43D7-8064-8F2F76C2F915}"/>
            </c:ext>
          </c:extLst>
        </c:ser>
        <c:ser>
          <c:idx val="3"/>
          <c:order val="4"/>
          <c:tx>
            <c:v>10%</c:v>
          </c:tx>
          <c:spPr>
            <a:ln w="25400" cap="rnd">
              <a:noFill/>
              <a:round/>
            </a:ln>
            <a:effectLst/>
          </c:spPr>
          <c:marker>
            <c:symbol val="x"/>
            <c:size val="10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'T1 vs temp over visocsity '!$J$6:$J$9</c:f>
              <c:numCache>
                <c:formatCode>General</c:formatCode>
                <c:ptCount val="4"/>
                <c:pt idx="0">
                  <c:v>55.006671029948869</c:v>
                </c:pt>
                <c:pt idx="1">
                  <c:v>126.5102480194968</c:v>
                </c:pt>
                <c:pt idx="2">
                  <c:v>260.48104672467906</c:v>
                </c:pt>
                <c:pt idx="3">
                  <c:v>499.40627578654124</c:v>
                </c:pt>
              </c:numCache>
            </c:numRef>
          </c:xVal>
          <c:yVal>
            <c:numRef>
              <c:f>'T1 vs temp over visocsity '!$K$6:$K$9</c:f>
              <c:numCache>
                <c:formatCode>General</c:formatCode>
                <c:ptCount val="4"/>
                <c:pt idx="0">
                  <c:v>3.3360000000000001E-2</c:v>
                </c:pt>
                <c:pt idx="1">
                  <c:v>4.7899999999999998E-2</c:v>
                </c:pt>
                <c:pt idx="2">
                  <c:v>6.4840000000000009E-2</c:v>
                </c:pt>
                <c:pt idx="3">
                  <c:v>8.7779999999999997E-2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9A71-43D7-8064-8F2F76C2F915}"/>
            </c:ext>
          </c:extLst>
        </c:ser>
        <c:ser>
          <c:idx val="4"/>
          <c:order val="5"/>
          <c:tx>
            <c:v>15%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'T1 vs temp over visocsity '!$L$6:$L$9</c:f>
              <c:numCache>
                <c:formatCode>General</c:formatCode>
                <c:ptCount val="4"/>
                <c:pt idx="0">
                  <c:v>18.93243659120407</c:v>
                </c:pt>
                <c:pt idx="1">
                  <c:v>47.98465795534527</c:v>
                </c:pt>
                <c:pt idx="2">
                  <c:v>104.8033031791342</c:v>
                </c:pt>
                <c:pt idx="3">
                  <c:v>205.87406371551202</c:v>
                </c:pt>
              </c:numCache>
            </c:numRef>
          </c:xVal>
          <c:yVal>
            <c:numRef>
              <c:f>'T1 vs temp over visocsity '!$M$6:$M$9</c:f>
              <c:numCache>
                <c:formatCode>General</c:formatCode>
                <c:ptCount val="4"/>
                <c:pt idx="0">
                  <c:v>2.426E-2</c:v>
                </c:pt>
                <c:pt idx="1">
                  <c:v>2.972E-2</c:v>
                </c:pt>
                <c:pt idx="2">
                  <c:v>4.0259999999999997E-2</c:v>
                </c:pt>
                <c:pt idx="3">
                  <c:v>5.4219999999999997E-2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9A71-43D7-8064-8F2F76C2F915}"/>
            </c:ext>
          </c:extLst>
        </c:ser>
        <c:ser>
          <c:idx val="5"/>
          <c:order val="6"/>
          <c:tx>
            <c:v>15%C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accent6"/>
                </a:solidFill>
                <a:prstDash val="sysDash"/>
              </a:ln>
              <a:effectLst/>
            </c:spPr>
            <c:trendlineType val="power"/>
            <c:dispRSqr val="0"/>
            <c:dispEq val="0"/>
          </c:trendline>
          <c:xVal>
            <c:numRef>
              <c:f>'T1 vs temp over visocsity '!$N$6:$N$9</c:f>
              <c:numCache>
                <c:formatCode>General</c:formatCode>
                <c:ptCount val="4"/>
                <c:pt idx="0">
                  <c:v>4.9843513501258805</c:v>
                </c:pt>
                <c:pt idx="1">
                  <c:v>11.463406538430213</c:v>
                </c:pt>
                <c:pt idx="2">
                  <c:v>25.022807585062353</c:v>
                </c:pt>
                <c:pt idx="3">
                  <c:v>47.592179738024015</c:v>
                </c:pt>
              </c:numCache>
            </c:numRef>
          </c:xVal>
          <c:yVal>
            <c:numRef>
              <c:f>'T1 vs temp over visocsity '!$O$6:$O$9</c:f>
              <c:numCache>
                <c:formatCode>General</c:formatCode>
                <c:ptCount val="4"/>
                <c:pt idx="0">
                  <c:v>5.7979999999999997E-2</c:v>
                </c:pt>
                <c:pt idx="1">
                  <c:v>7.640000000000001E-2</c:v>
                </c:pt>
                <c:pt idx="2">
                  <c:v>9.5170000000000005E-2</c:v>
                </c:pt>
                <c:pt idx="3">
                  <c:v>0.13133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F5B-4715-B94F-97DCB693C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7535664"/>
        <c:axId val="307536056"/>
      </c:scatterChart>
      <c:valAx>
        <c:axId val="307535664"/>
        <c:scaling>
          <c:logBase val="10"/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 sz="1400" b="0" i="0" baseline="0">
                    <a:effectLst/>
                  </a:rPr>
                  <a:t>T/</a:t>
                </a:r>
                <a:r>
                  <a:rPr lang="el-GR" sz="1400" b="0" i="1" baseline="0">
                    <a:effectLst/>
                  </a:rPr>
                  <a:t>η</a:t>
                </a:r>
                <a:r>
                  <a:rPr lang="en-GB" sz="1400" b="0" i="0" baseline="0">
                    <a:effectLst/>
                  </a:rPr>
                  <a:t> (K Pa </a:t>
                </a:r>
                <a:r>
                  <a:rPr lang="en-GB" sz="1400" b="0" i="0" baseline="30000">
                    <a:effectLst/>
                  </a:rPr>
                  <a:t>-1</a:t>
                </a:r>
                <a:r>
                  <a:rPr lang="en-GB" sz="1400" b="0" i="0" baseline="0">
                    <a:effectLst/>
                  </a:rPr>
                  <a:t>. s </a:t>
                </a:r>
                <a:r>
                  <a:rPr lang="en-GB" sz="1400" b="0" i="0" baseline="30000">
                    <a:effectLst/>
                  </a:rPr>
                  <a:t>-1</a:t>
                </a:r>
                <a:r>
                  <a:rPr lang="en-GB" sz="1400" b="0" i="0" baseline="0">
                    <a:effectLst/>
                  </a:rPr>
                  <a:t>) </a:t>
                </a:r>
                <a:endParaRPr lang="en-GB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2756837381661866"/>
              <c:y val="0.907310174463486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07536056"/>
        <c:crossesAt val="1.0000000000000002E-2"/>
        <c:crossBetween val="midCat"/>
      </c:valAx>
      <c:valAx>
        <c:axId val="307536056"/>
        <c:scaling>
          <c:logBase val="10"/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1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 sz="1400" b="0" i="1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T</a:t>
                </a:r>
                <a:r>
                  <a:rPr lang="en-GB" sz="1000" b="0" i="1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1</a:t>
                </a:r>
                <a:r>
                  <a:rPr lang="en-GB" sz="1400" b="0" i="1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/s</a:t>
                </a:r>
                <a:endParaRPr lang="en-GB" sz="1400" b="0" i="1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6.3007514470291674E-3"/>
              <c:y val="0.362690751891307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400" b="0" i="1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07535664"/>
        <c:crossesAt val="0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80050753917955153"/>
          <c:y val="0.4544786166435078"/>
          <c:w val="0.12543232968346449"/>
          <c:h val="0.328428284699706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37194068690133"/>
          <c:y val="5.5611846968741309E-2"/>
          <c:w val="0.80766996433138183"/>
          <c:h val="0.7920869193676372"/>
        </c:manualLayout>
      </c:layout>
      <c:scatterChart>
        <c:scatterStyle val="lineMarker"/>
        <c:varyColors val="0"/>
        <c:ser>
          <c:idx val="6"/>
          <c:order val="0"/>
          <c:tx>
            <c:v>0</c:v>
          </c:tx>
          <c:spPr>
            <a:ln w="25400" cap="rnd">
              <a:noFill/>
              <a:round/>
            </a:ln>
            <a:effectLst/>
          </c:spPr>
          <c:marker>
            <c:symbol val="plus"/>
            <c:size val="10"/>
            <c:spPr>
              <a:noFill/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'T1 vs temp over visocsity '!$B$17:$B$20</c:f>
              <c:numCache>
                <c:formatCode>General</c:formatCode>
                <c:ptCount val="4"/>
                <c:pt idx="0">
                  <c:v>8.170640224266668</c:v>
                </c:pt>
                <c:pt idx="1">
                  <c:v>8.7190887572219165</c:v>
                </c:pt>
                <c:pt idx="2">
                  <c:v>9.1951385437180306</c:v>
                </c:pt>
                <c:pt idx="3">
                  <c:v>9.5899385207950765</c:v>
                </c:pt>
              </c:numCache>
            </c:numRef>
          </c:xVal>
          <c:yVal>
            <c:numRef>
              <c:f>'T1 vs temp over visocsity '!$C$17:$C$20</c:f>
              <c:numCache>
                <c:formatCode>General</c:formatCode>
                <c:ptCount val="4"/>
                <c:pt idx="0">
                  <c:v>-1.8373427808500205</c:v>
                </c:pt>
                <c:pt idx="1">
                  <c:v>-1.4563735367072637</c:v>
                </c:pt>
                <c:pt idx="2">
                  <c:v>-1.0975128932248088</c:v>
                </c:pt>
                <c:pt idx="3">
                  <c:v>-0.76498695778298997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A8-439F-9305-EA23E449165F}"/>
            </c:ext>
          </c:extLst>
        </c:ser>
        <c:ser>
          <c:idx val="0"/>
          <c:order val="1"/>
          <c:tx>
            <c:v>1%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10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B05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'T1 vs temp over visocsity '!$D$17:$D$20</c:f>
              <c:numCache>
                <c:formatCode>General</c:formatCode>
                <c:ptCount val="4"/>
                <c:pt idx="0">
                  <c:v>7.3612064672590209</c:v>
                </c:pt>
                <c:pt idx="1">
                  <c:v>7.9359250276902698</c:v>
                </c:pt>
                <c:pt idx="2">
                  <c:v>8.3898034309799776</c:v>
                </c:pt>
                <c:pt idx="3">
                  <c:v>8.7702176052389138</c:v>
                </c:pt>
              </c:numCache>
            </c:numRef>
          </c:xVal>
          <c:yVal>
            <c:numRef>
              <c:f>'T1 vs temp over visocsity '!$E$17:$E$20</c:f>
              <c:numCache>
                <c:formatCode>General</c:formatCode>
                <c:ptCount val="4"/>
                <c:pt idx="0">
                  <c:v>-2.2616351066650915</c:v>
                </c:pt>
                <c:pt idx="1">
                  <c:v>-1.7867719277170158</c:v>
                </c:pt>
                <c:pt idx="2">
                  <c:v>-1.4178263087330532</c:v>
                </c:pt>
                <c:pt idx="3">
                  <c:v>-1.048565771183974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51-418E-84BE-F4878B791A7D}"/>
            </c:ext>
          </c:extLst>
        </c:ser>
        <c:ser>
          <c:idx val="2"/>
          <c:order val="2"/>
          <c:tx>
            <c:v>3%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8"/>
            <c:spPr>
              <a:gradFill>
                <a:gsLst>
                  <a:gs pos="0">
                    <a:srgbClr val="7030A0"/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9525">
                <a:solidFill>
                  <a:srgbClr val="7030A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7030A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'T1 vs temp over visocsity '!$F$17:$F$20</c:f>
              <c:numCache>
                <c:formatCode>General</c:formatCode>
                <c:ptCount val="4"/>
                <c:pt idx="0">
                  <c:v>6.5948816344503758</c:v>
                </c:pt>
                <c:pt idx="1">
                  <c:v>7.2663835795326577</c:v>
                </c:pt>
                <c:pt idx="2">
                  <c:v>7.8343303082208884</c:v>
                </c:pt>
                <c:pt idx="3">
                  <c:v>8.3514060489637707</c:v>
                </c:pt>
              </c:numCache>
            </c:numRef>
          </c:xVal>
          <c:yVal>
            <c:numRef>
              <c:f>'T1 vs temp over visocsity '!$G$17:$G$20</c:f>
              <c:numCache>
                <c:formatCode>General</c:formatCode>
                <c:ptCount val="4"/>
                <c:pt idx="0">
                  <c:v>-2.595748829015065</c:v>
                </c:pt>
                <c:pt idx="1">
                  <c:v>-2.1978647822236428</c:v>
                </c:pt>
                <c:pt idx="2">
                  <c:v>-1.8230643950564702</c:v>
                </c:pt>
                <c:pt idx="3">
                  <c:v>-1.4884156841866507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51-418E-84BE-F4878B791A7D}"/>
            </c:ext>
          </c:extLst>
        </c:ser>
        <c:ser>
          <c:idx val="3"/>
          <c:order val="3"/>
          <c:tx>
            <c:v>5%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C00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'T1 vs temp over visocsity '!$H$17:$H$20</c:f>
              <c:numCache>
                <c:formatCode>General</c:formatCode>
                <c:ptCount val="4"/>
                <c:pt idx="0">
                  <c:v>5.7367551900022056</c:v>
                </c:pt>
                <c:pt idx="1">
                  <c:v>6.4696723609317601</c:v>
                </c:pt>
                <c:pt idx="2">
                  <c:v>7.1289524976022234</c:v>
                </c:pt>
                <c:pt idx="3">
                  <c:v>7.6592585210201758</c:v>
                </c:pt>
              </c:numCache>
            </c:numRef>
          </c:xVal>
          <c:yVal>
            <c:numRef>
              <c:f>'T1 vs temp over visocsity '!$I$17:$I$20</c:f>
              <c:numCache>
                <c:formatCode>General</c:formatCode>
                <c:ptCount val="4"/>
                <c:pt idx="0">
                  <c:v>-2.7622265949982667</c:v>
                </c:pt>
                <c:pt idx="1">
                  <c:v>-2.4401245070161073</c:v>
                </c:pt>
                <c:pt idx="2">
                  <c:v>-2.165086579808412</c:v>
                </c:pt>
                <c:pt idx="3">
                  <c:v>-1.8490284774186276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451-418E-84BE-F4878B791A7D}"/>
            </c:ext>
          </c:extLst>
        </c:ser>
        <c:ser>
          <c:idx val="4"/>
          <c:order val="4"/>
          <c:tx>
            <c:v>10%</c:v>
          </c:tx>
          <c:spPr>
            <a:ln w="25400" cap="rnd">
              <a:noFill/>
              <a:round/>
            </a:ln>
            <a:effectLst/>
          </c:spPr>
          <c:marker>
            <c:symbol val="x"/>
            <c:size val="10"/>
            <c:spPr>
              <a:noFill/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>
                    <a:lumMod val="75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'T1 vs temp over visocsity '!$J$17:$J$20</c:f>
              <c:numCache>
                <c:formatCode>General</c:formatCode>
                <c:ptCount val="4"/>
                <c:pt idx="0">
                  <c:v>4.0074544693308729</c:v>
                </c:pt>
                <c:pt idx="1">
                  <c:v>4.8403233168981119</c:v>
                </c:pt>
                <c:pt idx="2">
                  <c:v>5.5625301012515829</c:v>
                </c:pt>
                <c:pt idx="3">
                  <c:v>6.2134199444197789</c:v>
                </c:pt>
              </c:numCache>
            </c:numRef>
          </c:xVal>
          <c:yVal>
            <c:numRef>
              <c:f>'T1 vs temp over visocsity '!$K$17:$K$20</c:f>
              <c:numCache>
                <c:formatCode>General</c:formatCode>
                <c:ptCount val="4"/>
                <c:pt idx="0">
                  <c:v>-3.4003977014915909</c:v>
                </c:pt>
                <c:pt idx="1">
                  <c:v>-3.0386397745652673</c:v>
                </c:pt>
                <c:pt idx="2">
                  <c:v>-2.7358325821146616</c:v>
                </c:pt>
                <c:pt idx="3">
                  <c:v>-2.4329215947220493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451-418E-84BE-F4878B791A7D}"/>
            </c:ext>
          </c:extLst>
        </c:ser>
        <c:ser>
          <c:idx val="5"/>
          <c:order val="5"/>
          <c:tx>
            <c:v>15%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'T1 vs temp over visocsity '!$L$17:$L$20</c:f>
              <c:numCache>
                <c:formatCode>General</c:formatCode>
                <c:ptCount val="4"/>
                <c:pt idx="0">
                  <c:v>2.9408766727966968</c:v>
                </c:pt>
                <c:pt idx="1">
                  <c:v>3.8708813338863295</c:v>
                </c:pt>
                <c:pt idx="2">
                  <c:v>4.6520852902751004</c:v>
                </c:pt>
                <c:pt idx="3">
                  <c:v>5.3272646406575275</c:v>
                </c:pt>
              </c:numCache>
            </c:numRef>
          </c:xVal>
          <c:yVal>
            <c:numRef>
              <c:f>'T1 vs temp over visocsity '!$M$17:$M$20</c:f>
              <c:numCache>
                <c:formatCode>General</c:formatCode>
                <c:ptCount val="4"/>
                <c:pt idx="0">
                  <c:v>-3.7189263754662329</c:v>
                </c:pt>
                <c:pt idx="1">
                  <c:v>-3.5159350591325786</c:v>
                </c:pt>
                <c:pt idx="2">
                  <c:v>-3.2123968587704916</c:v>
                </c:pt>
                <c:pt idx="3">
                  <c:v>-2.9147054349116175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451-418E-84BE-F4878B791A7D}"/>
            </c:ext>
          </c:extLst>
        </c:ser>
        <c:ser>
          <c:idx val="7"/>
          <c:order val="6"/>
          <c:tx>
            <c:v>15% 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rgbClr val="92D05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'T1 vs temp over visocsity '!$N$17:$N$20</c:f>
              <c:numCache>
                <c:formatCode>General</c:formatCode>
                <c:ptCount val="4"/>
                <c:pt idx="0">
                  <c:v>1.6063032746115848</c:v>
                </c:pt>
                <c:pt idx="1">
                  <c:v>2.439159921777502</c:v>
                </c:pt>
                <c:pt idx="2">
                  <c:v>3.2197877123748753</c:v>
                </c:pt>
                <c:pt idx="3">
                  <c:v>3.862668456522111</c:v>
                </c:pt>
              </c:numCache>
            </c:numRef>
          </c:xVal>
          <c:yVal>
            <c:numRef>
              <c:f>'T1 vs temp over visocsity '!$O$17:$O$20</c:f>
              <c:numCache>
                <c:formatCode>General</c:formatCode>
                <c:ptCount val="4"/>
                <c:pt idx="0">
                  <c:v>-2.8476571554886276</c:v>
                </c:pt>
                <c:pt idx="1">
                  <c:v>-2.571772582809662</c:v>
                </c:pt>
                <c:pt idx="2">
                  <c:v>-2.3520905128978851</c:v>
                </c:pt>
                <c:pt idx="3">
                  <c:v>-2.0300420393850684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A6A8-439F-9305-EA23E4491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7536840"/>
        <c:axId val="307537232"/>
      </c:scatterChart>
      <c:valAx>
        <c:axId val="307536840"/>
        <c:scaling>
          <c:orientation val="minMax"/>
          <c:max val="1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1" i="0" baseline="0">
                    <a:effectLst/>
                    <a:latin typeface="Cambria" panose="02040503050406030204" pitchFamily="18" charset="0"/>
                  </a:rPr>
                  <a:t>ln(T/</a:t>
                </a:r>
                <a:r>
                  <a:rPr lang="el-GR" sz="1400" b="1" i="1" baseline="0">
                    <a:effectLst/>
                    <a:latin typeface="Cambria" panose="02040503050406030204" pitchFamily="18" charset="0"/>
                  </a:rPr>
                  <a:t>η</a:t>
                </a:r>
                <a:r>
                  <a:rPr lang="en-GB" sz="1400" b="1" i="0" baseline="0">
                    <a:effectLst/>
                    <a:latin typeface="Cambria" panose="02040503050406030204" pitchFamily="18" charset="0"/>
                  </a:rPr>
                  <a:t>)</a:t>
                </a:r>
                <a:endParaRPr lang="en-GB" sz="800">
                  <a:effectLst/>
                  <a:latin typeface="Cambria" panose="02040503050406030204" pitchFamily="18" charset="0"/>
                </a:endParaRPr>
              </a:p>
            </c:rich>
          </c:tx>
          <c:layout>
            <c:manualLayout>
              <c:xMode val="edge"/>
              <c:yMode val="edge"/>
              <c:x val="0.49383834712968572"/>
              <c:y val="0.921675178199624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+mn-ea"/>
                <a:cs typeface="+mn-cs"/>
              </a:defRPr>
            </a:pPr>
            <a:endParaRPr lang="en-US"/>
          </a:p>
        </c:txPr>
        <c:crossAx val="307537232"/>
        <c:crossesAt val="-4.5"/>
        <c:crossBetween val="midCat"/>
        <c:majorUnit val="2"/>
      </c:valAx>
      <c:valAx>
        <c:axId val="307537232"/>
        <c:scaling>
          <c:orientation val="minMax"/>
          <c:max val="-0.1"/>
          <c:min val="-4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Cambria" panose="02040503050406030204" pitchFamily="18" charset="0"/>
                    <a:ea typeface="+mn-ea"/>
                    <a:cs typeface="+mn-cs"/>
                  </a:defRPr>
                </a:pPr>
                <a:r>
                  <a:rPr lang="en-GB" sz="1400" b="1">
                    <a:latin typeface="Cambria" panose="02040503050406030204" pitchFamily="18" charset="0"/>
                  </a:rPr>
                  <a:t>ln(</a:t>
                </a:r>
                <a:r>
                  <a:rPr lang="en-GB" sz="1400" b="1" i="1" baseline="0">
                    <a:effectLst/>
                    <a:latin typeface="Cambria" panose="02040503050406030204" pitchFamily="18" charset="0"/>
                  </a:rPr>
                  <a:t>T</a:t>
                </a:r>
                <a:r>
                  <a:rPr lang="en-GB" sz="1000" b="1" i="1" baseline="0">
                    <a:effectLst/>
                    <a:latin typeface="Cambria" panose="02040503050406030204" pitchFamily="18" charset="0"/>
                  </a:rPr>
                  <a:t>1</a:t>
                </a:r>
                <a:r>
                  <a:rPr lang="en-GB" sz="1400" b="1" i="1" baseline="0">
                    <a:effectLst/>
                    <a:latin typeface="Cambria" panose="02040503050406030204" pitchFamily="18" charset="0"/>
                  </a:rPr>
                  <a:t>/s</a:t>
                </a:r>
                <a:r>
                  <a:rPr lang="en-GB" sz="1400">
                    <a:latin typeface="Cambria" panose="02040503050406030204" pitchFamily="18" charset="0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2.284086073940211E-3"/>
              <c:y val="0.35440422660345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mbria" panose="020405030504060302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+mn-ea"/>
                <a:cs typeface="+mn-cs"/>
              </a:defRPr>
            </a:pPr>
            <a:endParaRPr lang="en-US"/>
          </a:p>
        </c:txPr>
        <c:crossAx val="307536840"/>
        <c:crossesAt val="0"/>
        <c:crossBetween val="midCat"/>
        <c:majorUnit val="1"/>
      </c:valAx>
      <c:spPr>
        <a:noFill/>
        <a:ln w="12700">
          <a:solidFill>
            <a:schemeClr val="tx1"/>
          </a:solidFill>
        </a:ln>
        <a:effectLst/>
      </c:spPr>
    </c:plotArea>
    <c:legend>
      <c:legendPos val="t"/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ayout>
        <c:manualLayout>
          <c:xMode val="edge"/>
          <c:yMode val="edge"/>
          <c:x val="0.83597751358279493"/>
          <c:y val="6.1909767672902787E-2"/>
          <c:w val="0.12651352153691739"/>
          <c:h val="0.3899752300783374"/>
        </c:manualLayout>
      </c:layout>
      <c:overlay val="0"/>
      <c:spPr>
        <a:noFill/>
        <a:ln>
          <a:noFill/>
        </a:ln>
        <a:effectLst>
          <a:softEdge rad="0"/>
        </a:effectLst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55217907647476"/>
          <c:y val="5.046067517422391E-2"/>
          <c:w val="0.8057027532912967"/>
          <c:h val="0.76663046429541137"/>
        </c:manualLayout>
      </c:layout>
      <c:scatterChart>
        <c:scatterStyle val="lineMarker"/>
        <c:varyColors val="0"/>
        <c:ser>
          <c:idx val="6"/>
          <c:order val="0"/>
          <c:tx>
            <c:v>0</c:v>
          </c:tx>
          <c:spPr>
            <a:ln w="25400" cap="rnd">
              <a:noFill/>
              <a:round/>
            </a:ln>
            <a:effectLst/>
          </c:spPr>
          <c:marker>
            <c:symbol val="plus"/>
            <c:size val="10"/>
            <c:spPr>
              <a:noFill/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'T2 vs Temp over Eta'!$B$5:$B$8</c:f>
              <c:numCache>
                <c:formatCode>General</c:formatCode>
                <c:ptCount val="4"/>
                <c:pt idx="0">
                  <c:v>3535.6068204613839</c:v>
                </c:pt>
                <c:pt idx="1">
                  <c:v>6118.601016021883</c:v>
                </c:pt>
                <c:pt idx="2">
                  <c:v>9849.1313623895148</c:v>
                </c:pt>
                <c:pt idx="3">
                  <c:v>14616.970866970865</c:v>
                </c:pt>
              </c:numCache>
            </c:numRef>
          </c:xVal>
          <c:yVal>
            <c:numRef>
              <c:f>'T2 vs Temp over Eta'!$C$5:$C$8</c:f>
              <c:numCache>
                <c:formatCode>General</c:formatCode>
                <c:ptCount val="4"/>
                <c:pt idx="0">
                  <c:v>0.15924000000000002</c:v>
                </c:pt>
                <c:pt idx="1">
                  <c:v>0.23308000000000001</c:v>
                </c:pt>
                <c:pt idx="2">
                  <c:v>0.3337</c:v>
                </c:pt>
                <c:pt idx="3">
                  <c:v>0.46533999999999998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6F-4A42-8A95-393D400CF206}"/>
            </c:ext>
          </c:extLst>
        </c:ser>
        <c:ser>
          <c:idx val="0"/>
          <c:order val="1"/>
          <c:tx>
            <c:v>1%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xVal>
            <c:numRef>
              <c:f>'T2 vs Temp over Eta'!$D$5:$D$8</c:f>
              <c:numCache>
                <c:formatCode>General</c:formatCode>
                <c:ptCount val="4"/>
                <c:pt idx="0">
                  <c:v>1573.7340767214114</c:v>
                </c:pt>
                <c:pt idx="1">
                  <c:v>2795.9438690084812</c:v>
                </c:pt>
                <c:pt idx="2">
                  <c:v>4401.9523217277028</c:v>
                </c:pt>
                <c:pt idx="3">
                  <c:v>6439.5735968619647</c:v>
                </c:pt>
              </c:numCache>
            </c:numRef>
          </c:xVal>
          <c:yVal>
            <c:numRef>
              <c:f>'T2 vs Temp over Eta'!$E$5:$E$8</c:f>
              <c:numCache>
                <c:formatCode>General</c:formatCode>
                <c:ptCount val="4"/>
                <c:pt idx="0">
                  <c:v>9.8180000000000003E-2</c:v>
                </c:pt>
                <c:pt idx="1">
                  <c:v>0.15317</c:v>
                </c:pt>
                <c:pt idx="2">
                  <c:v>0.22828999999999999</c:v>
                </c:pt>
                <c:pt idx="3">
                  <c:v>0.32112000000000002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DC-4C2C-A089-BB1F6FB272EF}"/>
            </c:ext>
          </c:extLst>
        </c:ser>
        <c:ser>
          <c:idx val="1"/>
          <c:order val="2"/>
          <c:tx>
            <c:v>3%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'T2 vs Temp over Eta'!$F$5:$F$8</c:f>
              <c:numCache>
                <c:formatCode>General</c:formatCode>
                <c:ptCount val="4"/>
                <c:pt idx="0">
                  <c:v>731.34231583168992</c:v>
                </c:pt>
                <c:pt idx="1">
                  <c:v>1431.3646652223233</c:v>
                </c:pt>
                <c:pt idx="2">
                  <c:v>2525.8434062682413</c:v>
                </c:pt>
                <c:pt idx="3">
                  <c:v>4236.1327678197304</c:v>
                </c:pt>
              </c:numCache>
            </c:numRef>
          </c:xVal>
          <c:yVal>
            <c:numRef>
              <c:f>'T2 vs Temp over Eta'!$G$5:$G$8</c:f>
              <c:numCache>
                <c:formatCode>General</c:formatCode>
                <c:ptCount val="4"/>
                <c:pt idx="0">
                  <c:v>5.9979999999999999E-2</c:v>
                </c:pt>
                <c:pt idx="1">
                  <c:v>9.3939999999999996E-2</c:v>
                </c:pt>
                <c:pt idx="2">
                  <c:v>0.13903000000000001</c:v>
                </c:pt>
                <c:pt idx="3">
                  <c:v>0.19359000000000001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3DC-4C2C-A089-BB1F6FB272EF}"/>
            </c:ext>
          </c:extLst>
        </c:ser>
        <c:ser>
          <c:idx val="2"/>
          <c:order val="3"/>
          <c:tx>
            <c:v>5%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'T2 vs Temp over Eta'!$H$5:$H$8</c:f>
              <c:numCache>
                <c:formatCode>General</c:formatCode>
                <c:ptCount val="4"/>
                <c:pt idx="0">
                  <c:v>310.05670186714997</c:v>
                </c:pt>
                <c:pt idx="1">
                  <c:v>645.27227591989833</c:v>
                </c:pt>
                <c:pt idx="2">
                  <c:v>1247.5694502288738</c:v>
                </c:pt>
                <c:pt idx="3">
                  <c:v>2120.184773162413</c:v>
                </c:pt>
              </c:numCache>
            </c:numRef>
          </c:xVal>
          <c:yVal>
            <c:numRef>
              <c:f>'T2 vs Temp over Eta'!$I$5:$I$9</c:f>
              <c:numCache>
                <c:formatCode>General</c:formatCode>
                <c:ptCount val="5"/>
                <c:pt idx="0">
                  <c:v>4.4690000000000001E-2</c:v>
                </c:pt>
                <c:pt idx="1">
                  <c:v>6.8569999999999992E-2</c:v>
                </c:pt>
                <c:pt idx="2">
                  <c:v>9.9670000000000009E-2</c:v>
                </c:pt>
                <c:pt idx="3">
                  <c:v>0.13943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3DC-4C2C-A089-BB1F6FB272EF}"/>
            </c:ext>
          </c:extLst>
        </c:ser>
        <c:ser>
          <c:idx val="3"/>
          <c:order val="4"/>
          <c:tx>
            <c:v>10%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10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'T2 vs Temp over Eta'!$J$5:$J$8</c:f>
              <c:numCache>
                <c:formatCode>General</c:formatCode>
                <c:ptCount val="4"/>
                <c:pt idx="0">
                  <c:v>55.006671029948869</c:v>
                </c:pt>
                <c:pt idx="1">
                  <c:v>126.5102480194968</c:v>
                </c:pt>
                <c:pt idx="2">
                  <c:v>260.48104672467906</c:v>
                </c:pt>
                <c:pt idx="3">
                  <c:v>499.40627578654124</c:v>
                </c:pt>
              </c:numCache>
            </c:numRef>
          </c:xVal>
          <c:yVal>
            <c:numRef>
              <c:f>'T2 vs Temp over Eta'!$K$5:$K$8</c:f>
              <c:numCache>
                <c:formatCode>General</c:formatCode>
                <c:ptCount val="4"/>
                <c:pt idx="0">
                  <c:v>2.4289999999999999E-2</c:v>
                </c:pt>
                <c:pt idx="1">
                  <c:v>3.6020000000000003E-2</c:v>
                </c:pt>
                <c:pt idx="2">
                  <c:v>5.2819999999999999E-2</c:v>
                </c:pt>
                <c:pt idx="3">
                  <c:v>7.2389999999999996E-2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D3DC-4C2C-A089-BB1F6FB272EF}"/>
            </c:ext>
          </c:extLst>
        </c:ser>
        <c:ser>
          <c:idx val="4"/>
          <c:order val="5"/>
          <c:tx>
            <c:v>15%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7030A0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'T2 vs Temp over Eta'!$L$5:$L$9</c:f>
              <c:numCache>
                <c:formatCode>General</c:formatCode>
                <c:ptCount val="5"/>
                <c:pt idx="0">
                  <c:v>18.93243659120407</c:v>
                </c:pt>
                <c:pt idx="1">
                  <c:v>47.98465795534527</c:v>
                </c:pt>
                <c:pt idx="2">
                  <c:v>104.8033031791342</c:v>
                </c:pt>
                <c:pt idx="3">
                  <c:v>205.87406371551202</c:v>
                </c:pt>
              </c:numCache>
            </c:numRef>
          </c:xVal>
          <c:yVal>
            <c:numRef>
              <c:f>'T2 vs Temp over Eta'!$M$5:$M$9</c:f>
              <c:numCache>
                <c:formatCode>General</c:formatCode>
                <c:ptCount val="5"/>
                <c:pt idx="0">
                  <c:v>1.332E-2</c:v>
                </c:pt>
                <c:pt idx="1">
                  <c:v>2.0070000000000001E-2</c:v>
                </c:pt>
                <c:pt idx="2">
                  <c:v>2.896E-2</c:v>
                </c:pt>
                <c:pt idx="3">
                  <c:v>4.1509999999999998E-2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D3DC-4C2C-A089-BB1F6FB272EF}"/>
            </c:ext>
          </c:extLst>
        </c:ser>
        <c:ser>
          <c:idx val="5"/>
          <c:order val="6"/>
          <c:tx>
            <c:v>15%C</c:v>
          </c:tx>
          <c:spPr>
            <a:ln w="25400" cap="rnd">
              <a:noFill/>
              <a:round/>
            </a:ln>
            <a:effectLst/>
          </c:spPr>
          <c:marker>
            <c:symbol val="x"/>
            <c:size val="10"/>
            <c:spPr>
              <a:noFill/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75000"/>
                  </a:schemeClr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'T2 vs Temp over Eta'!$N$5:$N$8</c:f>
              <c:numCache>
                <c:formatCode>General</c:formatCode>
                <c:ptCount val="4"/>
                <c:pt idx="0">
                  <c:v>4.9843513501258805</c:v>
                </c:pt>
                <c:pt idx="1">
                  <c:v>11.463406538430213</c:v>
                </c:pt>
                <c:pt idx="2">
                  <c:v>25.022807585062353</c:v>
                </c:pt>
                <c:pt idx="3">
                  <c:v>47.592179738024015</c:v>
                </c:pt>
              </c:numCache>
            </c:numRef>
          </c:xVal>
          <c:yVal>
            <c:numRef>
              <c:f>'T2 vs Temp over Eta'!$O$5:$O$8</c:f>
              <c:numCache>
                <c:formatCode>General</c:formatCode>
                <c:ptCount val="4"/>
                <c:pt idx="0">
                  <c:v>2.256E-2</c:v>
                </c:pt>
                <c:pt idx="1">
                  <c:v>4.2570000000000004E-2</c:v>
                </c:pt>
                <c:pt idx="2">
                  <c:v>7.2080000000000005E-2</c:v>
                </c:pt>
                <c:pt idx="3">
                  <c:v>0.11534999999999999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B82-4299-9F3A-8D1613AC0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7538016"/>
        <c:axId val="307538408"/>
      </c:scatterChart>
      <c:valAx>
        <c:axId val="307538016"/>
        <c:scaling>
          <c:logBase val="10"/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 sz="1400" b="0" i="0" baseline="0">
                    <a:effectLst/>
                  </a:rPr>
                  <a:t>T/</a:t>
                </a:r>
                <a:r>
                  <a:rPr lang="el-GR" sz="1400" b="0" i="1" baseline="0">
                    <a:effectLst/>
                  </a:rPr>
                  <a:t>η</a:t>
                </a:r>
                <a:r>
                  <a:rPr lang="en-GB" sz="1400" b="0" i="0" baseline="0">
                    <a:effectLst/>
                  </a:rPr>
                  <a:t> (K Pa </a:t>
                </a:r>
                <a:r>
                  <a:rPr lang="en-GB" sz="1400" b="0" i="0" baseline="30000">
                    <a:effectLst/>
                  </a:rPr>
                  <a:t>-1</a:t>
                </a:r>
                <a:r>
                  <a:rPr lang="en-GB" sz="1400" b="0" i="0" baseline="0">
                    <a:effectLst/>
                  </a:rPr>
                  <a:t>. s </a:t>
                </a:r>
                <a:r>
                  <a:rPr lang="en-GB" sz="1400" b="0" i="0" baseline="30000">
                    <a:effectLst/>
                  </a:rPr>
                  <a:t>-1</a:t>
                </a:r>
                <a:r>
                  <a:rPr lang="en-GB" sz="1400" b="0" i="0" baseline="0">
                    <a:effectLst/>
                  </a:rPr>
                  <a:t>) </a:t>
                </a:r>
                <a:endParaRPr lang="en-GB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1940124018362251"/>
              <c:y val="0.914871330738830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07538408"/>
        <c:crossesAt val="1.0000000000000002E-2"/>
        <c:crossBetween val="midCat"/>
      </c:valAx>
      <c:valAx>
        <c:axId val="307538408"/>
        <c:scaling>
          <c:logBase val="10"/>
          <c:orientation val="minMax"/>
          <c:min val="1.0000000000000002E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 sz="140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en-GB" sz="100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GB" sz="14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/s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07538016"/>
        <c:crossesAt val="1.0000000000000002E-2"/>
        <c:crossBetween val="midCat"/>
        <c:majorUnit val="1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82365446351078631"/>
          <c:y val="0.43914803752979148"/>
          <c:w val="0.10157124781713042"/>
          <c:h val="0.333815428243883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88251605161378"/>
          <c:y val="3.161732238064132E-2"/>
          <c:w val="0.79751397195569129"/>
          <c:h val="0.77761006705964686"/>
        </c:manualLayout>
      </c:layout>
      <c:scatterChart>
        <c:scatterStyle val="lineMarker"/>
        <c:varyColors val="0"/>
        <c:ser>
          <c:idx val="6"/>
          <c:order val="0"/>
          <c:tx>
            <c:v>0</c:v>
          </c:tx>
          <c:spPr>
            <a:ln w="25400" cap="rnd">
              <a:noFill/>
              <a:round/>
            </a:ln>
            <a:effectLst/>
          </c:spPr>
          <c:marker>
            <c:symbol val="plus"/>
            <c:size val="10"/>
            <c:spPr>
              <a:noFill/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accent1">
                    <a:lumMod val="60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'T2 vs Temp over Eta'!$B$17:$B$20</c:f>
              <c:numCache>
                <c:formatCode>General</c:formatCode>
                <c:ptCount val="4"/>
                <c:pt idx="0">
                  <c:v>8.170640224266668</c:v>
                </c:pt>
                <c:pt idx="1">
                  <c:v>8.7190887572219165</c:v>
                </c:pt>
                <c:pt idx="2">
                  <c:v>9.1951385437180306</c:v>
                </c:pt>
                <c:pt idx="3">
                  <c:v>9.5899385207950765</c:v>
                </c:pt>
              </c:numCache>
            </c:numRef>
          </c:xVal>
          <c:yVal>
            <c:numRef>
              <c:f>'T2 vs Temp over Eta'!$C$17:$C$20</c:f>
              <c:numCache>
                <c:formatCode>General</c:formatCode>
                <c:ptCount val="4"/>
                <c:pt idx="0">
                  <c:v>-1.8373427808500205</c:v>
                </c:pt>
                <c:pt idx="1">
                  <c:v>-1.4563735367072637</c:v>
                </c:pt>
                <c:pt idx="2">
                  <c:v>-1.0975128932248088</c:v>
                </c:pt>
                <c:pt idx="3">
                  <c:v>-0.76498695778298997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86-4E72-8949-E8C98125B868}"/>
            </c:ext>
          </c:extLst>
        </c:ser>
        <c:ser>
          <c:idx val="0"/>
          <c:order val="1"/>
          <c:tx>
            <c:v>1%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'T2 vs Temp over Eta'!$D$17:$D$21</c:f>
              <c:numCache>
                <c:formatCode>General</c:formatCode>
                <c:ptCount val="5"/>
                <c:pt idx="0">
                  <c:v>7.3612064672590209</c:v>
                </c:pt>
                <c:pt idx="1">
                  <c:v>7.9359250276902698</c:v>
                </c:pt>
                <c:pt idx="2">
                  <c:v>8.3898034309799776</c:v>
                </c:pt>
                <c:pt idx="3">
                  <c:v>8.7702176052389138</c:v>
                </c:pt>
              </c:numCache>
            </c:numRef>
          </c:xVal>
          <c:yVal>
            <c:numRef>
              <c:f>'T2 vs Temp over Eta'!$E$17:$E$21</c:f>
              <c:numCache>
                <c:formatCode>General</c:formatCode>
                <c:ptCount val="5"/>
                <c:pt idx="0">
                  <c:v>-2.3209527503522307</c:v>
                </c:pt>
                <c:pt idx="1">
                  <c:v>-1.8762068633056743</c:v>
                </c:pt>
                <c:pt idx="2">
                  <c:v>-1.4771385284206162</c:v>
                </c:pt>
                <c:pt idx="3">
                  <c:v>-1.1359403939341091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8F0-454A-83C5-7D537943970F}"/>
            </c:ext>
          </c:extLst>
        </c:ser>
        <c:ser>
          <c:idx val="1"/>
          <c:order val="2"/>
          <c:tx>
            <c:v>3%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accent2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'T2 vs Temp over Eta'!$F$17:$F$21</c:f>
              <c:numCache>
                <c:formatCode>General</c:formatCode>
                <c:ptCount val="5"/>
                <c:pt idx="0">
                  <c:v>6.5948816344503758</c:v>
                </c:pt>
                <c:pt idx="1">
                  <c:v>7.2663835795326577</c:v>
                </c:pt>
                <c:pt idx="2">
                  <c:v>7.8343303082208884</c:v>
                </c:pt>
                <c:pt idx="3">
                  <c:v>8.3514060489637707</c:v>
                </c:pt>
              </c:numCache>
            </c:numRef>
          </c:xVal>
          <c:yVal>
            <c:numRef>
              <c:f>'T2 vs Temp over Eta'!$G$17:$G$21</c:f>
              <c:numCache>
                <c:formatCode>General</c:formatCode>
                <c:ptCount val="5"/>
                <c:pt idx="0">
                  <c:v>-2.8137441056612742</c:v>
                </c:pt>
                <c:pt idx="1">
                  <c:v>-2.3650989983832882</c:v>
                </c:pt>
                <c:pt idx="2">
                  <c:v>-1.9730655418006851</c:v>
                </c:pt>
                <c:pt idx="3">
                  <c:v>-1.6420127583662789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F0-454A-83C5-7D537943970F}"/>
            </c:ext>
          </c:extLst>
        </c:ser>
        <c:ser>
          <c:idx val="2"/>
          <c:order val="3"/>
          <c:tx>
            <c:v>5%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accent3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'T2 vs Temp over Eta'!$H$17:$H$21</c:f>
              <c:numCache>
                <c:formatCode>General</c:formatCode>
                <c:ptCount val="5"/>
                <c:pt idx="0">
                  <c:v>5.7367551900022056</c:v>
                </c:pt>
                <c:pt idx="1">
                  <c:v>6.4696723609317601</c:v>
                </c:pt>
                <c:pt idx="2">
                  <c:v>7.1289524976022234</c:v>
                </c:pt>
                <c:pt idx="3">
                  <c:v>7.6592585210201758</c:v>
                </c:pt>
              </c:numCache>
            </c:numRef>
          </c:xVal>
          <c:yVal>
            <c:numRef>
              <c:f>'T2 vs Temp over Eta'!$I$17:$I$21</c:f>
              <c:numCache>
                <c:formatCode>General</c:formatCode>
                <c:ptCount val="5"/>
                <c:pt idx="0">
                  <c:v>-3.1080055160367768</c:v>
                </c:pt>
                <c:pt idx="1">
                  <c:v>-2.6799001576858643</c:v>
                </c:pt>
                <c:pt idx="2">
                  <c:v>-2.305890550002772</c:v>
                </c:pt>
                <c:pt idx="3">
                  <c:v>-1.9701925957752073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8F0-454A-83C5-7D537943970F}"/>
            </c:ext>
          </c:extLst>
        </c:ser>
        <c:ser>
          <c:idx val="3"/>
          <c:order val="4"/>
          <c:tx>
            <c:v>10%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10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accent4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'T2 vs Temp over Eta'!$J$17:$J$21</c:f>
              <c:numCache>
                <c:formatCode>General</c:formatCode>
                <c:ptCount val="5"/>
                <c:pt idx="0">
                  <c:v>4.0074544693308729</c:v>
                </c:pt>
                <c:pt idx="1">
                  <c:v>4.8403233168981119</c:v>
                </c:pt>
                <c:pt idx="2">
                  <c:v>5.5625301012515829</c:v>
                </c:pt>
                <c:pt idx="3">
                  <c:v>6.2134199444197789</c:v>
                </c:pt>
              </c:numCache>
            </c:numRef>
          </c:xVal>
          <c:yVal>
            <c:numRef>
              <c:f>'T2 vs Temp over Eta'!$K$17:$K$21</c:f>
              <c:numCache>
                <c:formatCode>General</c:formatCode>
                <c:ptCount val="5"/>
                <c:pt idx="0">
                  <c:v>-3.7176905359680559</c:v>
                </c:pt>
                <c:pt idx="1">
                  <c:v>-3.3236809392343267</c:v>
                </c:pt>
                <c:pt idx="2">
                  <c:v>-2.940865372113151</c:v>
                </c:pt>
                <c:pt idx="3">
                  <c:v>-2.6256871106770872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8F0-454A-83C5-7D537943970F}"/>
            </c:ext>
          </c:extLst>
        </c:ser>
        <c:ser>
          <c:idx val="4"/>
          <c:order val="5"/>
          <c:tx>
            <c:v>15%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trendline>
            <c:spPr>
              <a:ln w="12700" cap="rnd">
                <a:solidFill>
                  <a:srgbClr val="7030A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'T2 vs Temp over Eta'!$L$17:$L$21</c:f>
              <c:numCache>
                <c:formatCode>General</c:formatCode>
                <c:ptCount val="5"/>
                <c:pt idx="0">
                  <c:v>2.9408766727966968</c:v>
                </c:pt>
                <c:pt idx="1">
                  <c:v>3.8708813338863295</c:v>
                </c:pt>
                <c:pt idx="2">
                  <c:v>4.6520852902751004</c:v>
                </c:pt>
                <c:pt idx="3">
                  <c:v>5.3272646406575275</c:v>
                </c:pt>
              </c:numCache>
            </c:numRef>
          </c:xVal>
          <c:yVal>
            <c:numRef>
              <c:f>'T2 vs Temp over Eta'!$M$17:$M$21</c:f>
              <c:numCache>
                <c:formatCode>General</c:formatCode>
                <c:ptCount val="5"/>
                <c:pt idx="0">
                  <c:v>-4.3184886138698939</c:v>
                </c:pt>
                <c:pt idx="1">
                  <c:v>-3.9085291161738902</c:v>
                </c:pt>
                <c:pt idx="2">
                  <c:v>-3.5418397114646214</c:v>
                </c:pt>
                <c:pt idx="3">
                  <c:v>-3.1818209169171898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8F0-454A-83C5-7D537943970F}"/>
            </c:ext>
          </c:extLst>
        </c:ser>
        <c:ser>
          <c:idx val="5"/>
          <c:order val="6"/>
          <c:tx>
            <c:v>15%C</c:v>
          </c:tx>
          <c:spPr>
            <a:ln w="25400" cap="rnd">
              <a:noFill/>
              <a:round/>
            </a:ln>
            <a:effectLst/>
          </c:spPr>
          <c:marker>
            <c:symbol val="x"/>
            <c:size val="10"/>
            <c:spPr>
              <a:noFill/>
              <a:ln w="9525">
                <a:solidFill>
                  <a:srgbClr val="00B0F0"/>
                </a:solidFill>
              </a:ln>
              <a:effectLst/>
            </c:spPr>
          </c:marker>
          <c:trendline>
            <c:spPr>
              <a:ln w="12700" cap="rnd">
                <a:solidFill>
                  <a:srgbClr val="00B0F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'T2 vs Temp over Eta'!$N$17:$N$21</c:f>
              <c:numCache>
                <c:formatCode>General</c:formatCode>
                <c:ptCount val="5"/>
                <c:pt idx="0">
                  <c:v>1.6063032746115848</c:v>
                </c:pt>
                <c:pt idx="1">
                  <c:v>2.439159921777502</c:v>
                </c:pt>
                <c:pt idx="2">
                  <c:v>3.2197877123748753</c:v>
                </c:pt>
                <c:pt idx="3">
                  <c:v>3.862668456522111</c:v>
                </c:pt>
              </c:numCache>
            </c:numRef>
          </c:xVal>
          <c:yVal>
            <c:numRef>
              <c:f>'T2 vs Temp over Eta'!$O$17:$O$21</c:f>
              <c:numCache>
                <c:formatCode>General</c:formatCode>
                <c:ptCount val="5"/>
                <c:pt idx="0">
                  <c:v>-3.791576852352279</c:v>
                </c:pt>
                <c:pt idx="1">
                  <c:v>-3.156605499142076</c:v>
                </c:pt>
                <c:pt idx="2">
                  <c:v>-2.6299786656820543</c:v>
                </c:pt>
                <c:pt idx="3">
                  <c:v>-2.1597842943623746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8F0-454A-83C5-7D5379439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910552"/>
        <c:axId val="308910944"/>
      </c:scatterChart>
      <c:valAx>
        <c:axId val="308910552"/>
        <c:scaling>
          <c:orientation val="minMax"/>
          <c:max val="12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mbria" panose="02040503050406030204" pitchFamily="18" charset="0"/>
                    <a:ea typeface="+mn-ea"/>
                    <a:cs typeface="+mn-cs"/>
                  </a:defRPr>
                </a:pPr>
                <a:r>
                  <a:rPr lang="en-GB" sz="1400" b="1" i="0" baseline="0">
                    <a:effectLst/>
                    <a:latin typeface="Cambria" panose="02040503050406030204" pitchFamily="18" charset="0"/>
                  </a:rPr>
                  <a:t>ln(T/</a:t>
                </a:r>
                <a:r>
                  <a:rPr lang="en-GB" sz="1400" b="1" i="1" baseline="0">
                    <a:effectLst/>
                    <a:latin typeface="Cambria" panose="02040503050406030204" pitchFamily="18" charset="0"/>
                  </a:rPr>
                  <a:t>ƞ</a:t>
                </a:r>
                <a:r>
                  <a:rPr lang="en-GB" sz="1400" b="1" i="0" baseline="0">
                    <a:effectLst/>
                    <a:latin typeface="Cambria" panose="02040503050406030204" pitchFamily="18" charset="0"/>
                  </a:rPr>
                  <a:t>)</a:t>
                </a:r>
                <a:endParaRPr lang="en-GB" sz="1400" b="1">
                  <a:effectLst/>
                  <a:latin typeface="Cambria" panose="02040503050406030204" pitchFamily="18" charset="0"/>
                </a:endParaRPr>
              </a:p>
            </c:rich>
          </c:tx>
          <c:layout>
            <c:manualLayout>
              <c:xMode val="edge"/>
              <c:yMode val="edge"/>
              <c:x val="0.48341266110392916"/>
              <c:y val="0.917485952394921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mbria" panose="020405030504060302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+mn-ea"/>
                <a:cs typeface="+mn-cs"/>
              </a:defRPr>
            </a:pPr>
            <a:endParaRPr lang="en-US"/>
          </a:p>
        </c:txPr>
        <c:crossAx val="308910944"/>
        <c:crossesAt val="-6.5"/>
        <c:crossBetween val="midCat"/>
        <c:majorUnit val="2"/>
      </c:valAx>
      <c:valAx>
        <c:axId val="308910944"/>
        <c:scaling>
          <c:orientation val="minMax"/>
          <c:max val="-0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1" i="1" baseline="0">
                    <a:effectLst/>
                    <a:latin typeface="Cambria" panose="02040503050406030204" pitchFamily="18" charset="0"/>
                  </a:rPr>
                  <a:t>ln( T</a:t>
                </a:r>
                <a:r>
                  <a:rPr lang="en-GB" sz="1000" b="1" i="1" baseline="0">
                    <a:effectLst/>
                    <a:latin typeface="Cambria" panose="02040503050406030204" pitchFamily="18" charset="0"/>
                  </a:rPr>
                  <a:t>2</a:t>
                </a:r>
                <a:r>
                  <a:rPr lang="en-GB" sz="1400" b="1" i="0" baseline="0">
                    <a:effectLst/>
                    <a:latin typeface="Cambria" panose="02040503050406030204" pitchFamily="18" charset="0"/>
                  </a:rPr>
                  <a:t>/s)</a:t>
                </a:r>
                <a:endParaRPr lang="en-GB" sz="1400" b="1">
                  <a:effectLst/>
                  <a:latin typeface="Cambria" panose="02040503050406030204" pitchFamily="18" charset="0"/>
                </a:endParaRPr>
              </a:p>
            </c:rich>
          </c:tx>
          <c:layout>
            <c:manualLayout>
              <c:xMode val="edge"/>
              <c:yMode val="edge"/>
              <c:x val="1.2457559559680281E-3"/>
              <c:y val="0.352245917962305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+mn-ea"/>
                <a:cs typeface="+mn-cs"/>
              </a:defRPr>
            </a:pPr>
            <a:endParaRPr lang="en-US"/>
          </a:p>
        </c:txPr>
        <c:crossAx val="308910552"/>
        <c:crossesAt val="0"/>
        <c:crossBetween val="midCat"/>
        <c:majorUnit val="1"/>
      </c:valAx>
      <c:spPr>
        <a:noFill/>
        <a:ln w="12700">
          <a:solidFill>
            <a:schemeClr val="tx1"/>
          </a:solidFill>
        </a:ln>
        <a:effectLst/>
      </c:spPr>
    </c:plotArea>
    <c:legend>
      <c:legendPos val="tr"/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ayout>
        <c:manualLayout>
          <c:xMode val="edge"/>
          <c:yMode val="edge"/>
          <c:x val="0.83749990206448077"/>
          <c:y val="4.6345798041798801E-2"/>
          <c:w val="0.11250768517323313"/>
          <c:h val="0.4011578308819091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159593438798293"/>
          <c:y val="3.161732238064132E-2"/>
          <c:w val="0.82180055361932203"/>
          <c:h val="0.77761006705964686"/>
        </c:manualLayout>
      </c:layout>
      <c:scatterChart>
        <c:scatterStyle val="lineMarker"/>
        <c:varyColors val="0"/>
        <c:ser>
          <c:idx val="6"/>
          <c:order val="0"/>
          <c:tx>
            <c:v>0</c:v>
          </c:tx>
          <c:spPr>
            <a:ln w="25400" cap="rnd">
              <a:noFill/>
              <a:round/>
            </a:ln>
            <a:effectLst/>
          </c:spPr>
          <c:marker>
            <c:symbol val="plus"/>
            <c:size val="10"/>
            <c:spPr>
              <a:noFill/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accent1">
                    <a:lumMod val="60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'T2 vs Temp over Eta'!$B$17:$B$20</c:f>
              <c:numCache>
                <c:formatCode>General</c:formatCode>
                <c:ptCount val="4"/>
                <c:pt idx="0">
                  <c:v>8.170640224266668</c:v>
                </c:pt>
                <c:pt idx="1">
                  <c:v>8.7190887572219165</c:v>
                </c:pt>
                <c:pt idx="2">
                  <c:v>9.1951385437180306</c:v>
                </c:pt>
                <c:pt idx="3">
                  <c:v>9.5899385207950765</c:v>
                </c:pt>
              </c:numCache>
            </c:numRef>
          </c:xVal>
          <c:yVal>
            <c:numRef>
              <c:f>'T2 vs Temp over Eta'!$C$17:$C$20</c:f>
              <c:numCache>
                <c:formatCode>General</c:formatCode>
                <c:ptCount val="4"/>
                <c:pt idx="0">
                  <c:v>-1.8373427808500205</c:v>
                </c:pt>
                <c:pt idx="1">
                  <c:v>-1.4563735367072637</c:v>
                </c:pt>
                <c:pt idx="2">
                  <c:v>-1.0975128932248088</c:v>
                </c:pt>
                <c:pt idx="3">
                  <c:v>-0.76498695778298997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BE2-4FFC-B331-792FCB8F9478}"/>
            </c:ext>
          </c:extLst>
        </c:ser>
        <c:ser>
          <c:idx val="0"/>
          <c:order val="1"/>
          <c:tx>
            <c:v>1%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'T2 vs Temp over Eta'!$D$17:$D$21</c:f>
              <c:numCache>
                <c:formatCode>General</c:formatCode>
                <c:ptCount val="5"/>
                <c:pt idx="0">
                  <c:v>7.3612064672590209</c:v>
                </c:pt>
                <c:pt idx="1">
                  <c:v>7.9359250276902698</c:v>
                </c:pt>
                <c:pt idx="2">
                  <c:v>8.3898034309799776</c:v>
                </c:pt>
                <c:pt idx="3">
                  <c:v>8.7702176052389138</c:v>
                </c:pt>
              </c:numCache>
            </c:numRef>
          </c:xVal>
          <c:yVal>
            <c:numRef>
              <c:f>'T2 vs Temp over Eta'!$E$17:$E$21</c:f>
              <c:numCache>
                <c:formatCode>General</c:formatCode>
                <c:ptCount val="5"/>
                <c:pt idx="0">
                  <c:v>-2.3209527503522307</c:v>
                </c:pt>
                <c:pt idx="1">
                  <c:v>-1.8762068633056743</c:v>
                </c:pt>
                <c:pt idx="2">
                  <c:v>-1.4771385284206162</c:v>
                </c:pt>
                <c:pt idx="3">
                  <c:v>-1.1359403939341091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BE2-4FFC-B331-792FCB8F9478}"/>
            </c:ext>
          </c:extLst>
        </c:ser>
        <c:ser>
          <c:idx val="1"/>
          <c:order val="2"/>
          <c:tx>
            <c:v>3%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accent2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'T2 vs Temp over Eta'!$F$17:$F$21</c:f>
              <c:numCache>
                <c:formatCode>General</c:formatCode>
                <c:ptCount val="5"/>
                <c:pt idx="0">
                  <c:v>6.5948816344503758</c:v>
                </c:pt>
                <c:pt idx="1">
                  <c:v>7.2663835795326577</c:v>
                </c:pt>
                <c:pt idx="2">
                  <c:v>7.8343303082208884</c:v>
                </c:pt>
                <c:pt idx="3">
                  <c:v>8.3514060489637707</c:v>
                </c:pt>
              </c:numCache>
            </c:numRef>
          </c:xVal>
          <c:yVal>
            <c:numRef>
              <c:f>'T2 vs Temp over Eta'!$G$17:$G$21</c:f>
              <c:numCache>
                <c:formatCode>General</c:formatCode>
                <c:ptCount val="5"/>
                <c:pt idx="0">
                  <c:v>-2.8137441056612742</c:v>
                </c:pt>
                <c:pt idx="1">
                  <c:v>-2.3650989983832882</c:v>
                </c:pt>
                <c:pt idx="2">
                  <c:v>-1.9730655418006851</c:v>
                </c:pt>
                <c:pt idx="3">
                  <c:v>-1.6420127583662789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BE2-4FFC-B331-792FCB8F9478}"/>
            </c:ext>
          </c:extLst>
        </c:ser>
        <c:ser>
          <c:idx val="2"/>
          <c:order val="3"/>
          <c:tx>
            <c:v>5%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accent3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'T2 vs Temp over Eta'!$H$17:$H$21</c:f>
              <c:numCache>
                <c:formatCode>General</c:formatCode>
                <c:ptCount val="5"/>
                <c:pt idx="0">
                  <c:v>5.7367551900022056</c:v>
                </c:pt>
                <c:pt idx="1">
                  <c:v>6.4696723609317601</c:v>
                </c:pt>
                <c:pt idx="2">
                  <c:v>7.1289524976022234</c:v>
                </c:pt>
                <c:pt idx="3">
                  <c:v>7.6592585210201758</c:v>
                </c:pt>
              </c:numCache>
            </c:numRef>
          </c:xVal>
          <c:yVal>
            <c:numRef>
              <c:f>'T2 vs Temp over Eta'!$I$17:$I$21</c:f>
              <c:numCache>
                <c:formatCode>General</c:formatCode>
                <c:ptCount val="5"/>
                <c:pt idx="0">
                  <c:v>-3.1080055160367768</c:v>
                </c:pt>
                <c:pt idx="1">
                  <c:v>-2.6799001576858643</c:v>
                </c:pt>
                <c:pt idx="2">
                  <c:v>-2.305890550002772</c:v>
                </c:pt>
                <c:pt idx="3">
                  <c:v>-1.9701925957752073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BE2-4FFC-B331-792FCB8F9478}"/>
            </c:ext>
          </c:extLst>
        </c:ser>
        <c:ser>
          <c:idx val="3"/>
          <c:order val="4"/>
          <c:tx>
            <c:v>10%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10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accent4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'T2 vs Temp over Eta'!$J$17:$J$21</c:f>
              <c:numCache>
                <c:formatCode>General</c:formatCode>
                <c:ptCount val="5"/>
                <c:pt idx="0">
                  <c:v>4.0074544693308729</c:v>
                </c:pt>
                <c:pt idx="1">
                  <c:v>4.8403233168981119</c:v>
                </c:pt>
                <c:pt idx="2">
                  <c:v>5.5625301012515829</c:v>
                </c:pt>
                <c:pt idx="3">
                  <c:v>6.2134199444197789</c:v>
                </c:pt>
              </c:numCache>
            </c:numRef>
          </c:xVal>
          <c:yVal>
            <c:numRef>
              <c:f>'T2 vs Temp over Eta'!$K$17:$K$21</c:f>
              <c:numCache>
                <c:formatCode>General</c:formatCode>
                <c:ptCount val="5"/>
                <c:pt idx="0">
                  <c:v>-3.7176905359680559</c:v>
                </c:pt>
                <c:pt idx="1">
                  <c:v>-3.3236809392343267</c:v>
                </c:pt>
                <c:pt idx="2">
                  <c:v>-2.940865372113151</c:v>
                </c:pt>
                <c:pt idx="3">
                  <c:v>-2.6256871106770872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2BE2-4FFC-B331-792FCB8F9478}"/>
            </c:ext>
          </c:extLst>
        </c:ser>
        <c:ser>
          <c:idx val="4"/>
          <c:order val="5"/>
          <c:tx>
            <c:v>15%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trendline>
            <c:spPr>
              <a:ln w="12700" cap="rnd">
                <a:solidFill>
                  <a:srgbClr val="7030A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'T2 vs Temp over Eta'!$L$17:$L$21</c:f>
              <c:numCache>
                <c:formatCode>General</c:formatCode>
                <c:ptCount val="5"/>
                <c:pt idx="0">
                  <c:v>2.9408766727966968</c:v>
                </c:pt>
                <c:pt idx="1">
                  <c:v>3.8708813338863295</c:v>
                </c:pt>
                <c:pt idx="2">
                  <c:v>4.6520852902751004</c:v>
                </c:pt>
                <c:pt idx="3">
                  <c:v>5.3272646406575275</c:v>
                </c:pt>
              </c:numCache>
            </c:numRef>
          </c:xVal>
          <c:yVal>
            <c:numRef>
              <c:f>'T2 vs Temp over Eta'!$M$17:$M$21</c:f>
              <c:numCache>
                <c:formatCode>General</c:formatCode>
                <c:ptCount val="5"/>
                <c:pt idx="0">
                  <c:v>-4.3184886138698939</c:v>
                </c:pt>
                <c:pt idx="1">
                  <c:v>-3.9085291161738902</c:v>
                </c:pt>
                <c:pt idx="2">
                  <c:v>-3.5418397114646214</c:v>
                </c:pt>
                <c:pt idx="3">
                  <c:v>-3.1818209169171898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2BE2-4FFC-B331-792FCB8F9478}"/>
            </c:ext>
          </c:extLst>
        </c:ser>
        <c:ser>
          <c:idx val="5"/>
          <c:order val="6"/>
          <c:tx>
            <c:v>15%C</c:v>
          </c:tx>
          <c:spPr>
            <a:ln w="25400" cap="rnd">
              <a:noFill/>
              <a:round/>
            </a:ln>
            <a:effectLst/>
          </c:spPr>
          <c:marker>
            <c:symbol val="x"/>
            <c:size val="10"/>
            <c:spPr>
              <a:noFill/>
              <a:ln w="9525">
                <a:solidFill>
                  <a:srgbClr val="00B0F0"/>
                </a:solidFill>
              </a:ln>
              <a:effectLst/>
            </c:spPr>
          </c:marker>
          <c:trendline>
            <c:spPr>
              <a:ln w="12700" cap="rnd">
                <a:solidFill>
                  <a:srgbClr val="00B0F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'T2 vs Temp over Eta'!$N$17:$N$21</c:f>
              <c:numCache>
                <c:formatCode>General</c:formatCode>
                <c:ptCount val="5"/>
                <c:pt idx="0">
                  <c:v>1.6063032746115848</c:v>
                </c:pt>
                <c:pt idx="1">
                  <c:v>2.439159921777502</c:v>
                </c:pt>
                <c:pt idx="2">
                  <c:v>3.2197877123748753</c:v>
                </c:pt>
                <c:pt idx="3">
                  <c:v>3.862668456522111</c:v>
                </c:pt>
              </c:numCache>
            </c:numRef>
          </c:xVal>
          <c:yVal>
            <c:numRef>
              <c:f>'T2 vs Temp over Eta'!$O$17:$O$21</c:f>
              <c:numCache>
                <c:formatCode>General</c:formatCode>
                <c:ptCount val="5"/>
                <c:pt idx="0">
                  <c:v>-3.791576852352279</c:v>
                </c:pt>
                <c:pt idx="1">
                  <c:v>-3.156605499142076</c:v>
                </c:pt>
                <c:pt idx="2">
                  <c:v>-2.6299786656820543</c:v>
                </c:pt>
                <c:pt idx="3">
                  <c:v>-2.1597842943623746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2BE2-4FFC-B331-792FCB8F9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911728"/>
        <c:axId val="308912120"/>
      </c:scatterChart>
      <c:valAx>
        <c:axId val="308911728"/>
        <c:scaling>
          <c:orientation val="minMax"/>
          <c:max val="12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 sz="14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T/</a:t>
                </a:r>
                <a:r>
                  <a:rPr lang="en-GB" sz="1400" b="0" i="1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ƞ</a:t>
                </a:r>
                <a:endParaRPr lang="en-GB" sz="1400" b="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52469993163422879"/>
              <c:y val="0.91035582961925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+mn-ea"/>
                <a:cs typeface="+mn-cs"/>
              </a:defRPr>
            </a:pPr>
            <a:endParaRPr lang="en-US"/>
          </a:p>
        </c:txPr>
        <c:crossAx val="308912120"/>
        <c:crossesAt val="-6.5"/>
        <c:crossBetween val="midCat"/>
        <c:majorUnit val="2"/>
      </c:valAx>
      <c:valAx>
        <c:axId val="308912120"/>
        <c:scaling>
          <c:orientation val="minMax"/>
          <c:max val="-0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0" i="1" baseline="0">
                    <a:effectLst/>
                    <a:latin typeface="Cambria" panose="02040503050406030204" pitchFamily="18" charset="0"/>
                  </a:rPr>
                  <a:t> T</a:t>
                </a:r>
                <a:r>
                  <a:rPr lang="en-GB" sz="1000" b="0" i="1" baseline="0">
                    <a:effectLst/>
                    <a:latin typeface="Cambria" panose="02040503050406030204" pitchFamily="18" charset="0"/>
                  </a:rPr>
                  <a:t>2</a:t>
                </a:r>
                <a:r>
                  <a:rPr lang="en-GB" sz="1400" b="0" i="0" baseline="0">
                    <a:effectLst/>
                    <a:latin typeface="Cambria" panose="02040503050406030204" pitchFamily="18" charset="0"/>
                  </a:rPr>
                  <a:t>/s</a:t>
                </a:r>
                <a:endParaRPr lang="en-GB" sz="1400" b="0">
                  <a:effectLst/>
                  <a:latin typeface="Cambria" panose="02040503050406030204" pitchFamily="18" charset="0"/>
                </a:endParaRPr>
              </a:p>
            </c:rich>
          </c:tx>
          <c:layout>
            <c:manualLayout>
              <c:xMode val="edge"/>
              <c:yMode val="edge"/>
              <c:x val="1.2457559559680281E-3"/>
              <c:y val="0.352245917962305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+mn-ea"/>
                <a:cs typeface="+mn-cs"/>
              </a:defRPr>
            </a:pPr>
            <a:endParaRPr lang="en-US"/>
          </a:p>
        </c:txPr>
        <c:crossAx val="308911728"/>
        <c:crossesAt val="0"/>
        <c:crossBetween val="midCat"/>
        <c:majorUnit val="1"/>
      </c:valAx>
      <c:spPr>
        <a:noFill/>
        <a:ln w="12700">
          <a:solidFill>
            <a:schemeClr val="tx1"/>
          </a:solidFill>
        </a:ln>
        <a:effectLst/>
      </c:spPr>
    </c:plotArea>
    <c:legend>
      <c:legendPos val="tr"/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ayout>
        <c:manualLayout>
          <c:xMode val="edge"/>
          <c:yMode val="edge"/>
          <c:x val="0.83749990206448077"/>
          <c:y val="4.6345798041798801E-2"/>
          <c:w val="0.11250768517323313"/>
          <c:h val="0.4011578308819091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96136758544631"/>
          <c:y val="6.8392132799308128E-2"/>
          <c:w val="0.78687006092939427"/>
          <c:h val="0.69733192789326959"/>
        </c:manualLayout>
      </c:layout>
      <c:scatterChart>
        <c:scatterStyle val="lineMarker"/>
        <c:varyColors val="0"/>
        <c:ser>
          <c:idx val="0"/>
          <c:order val="0"/>
          <c:tx>
            <c:v>20c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6"/>
            <c:intercept val="2.23"/>
            <c:dispRSqr val="0"/>
            <c:dispEq val="1"/>
            <c:trendlineLbl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slope 2.23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'[1]Master curve '!$B$4:$B$9</c:f>
              <c:numCache>
                <c:formatCode>General</c:formatCode>
                <c:ptCount val="6"/>
                <c:pt idx="0">
                  <c:v>0</c:v>
                </c:pt>
                <c:pt idx="1">
                  <c:v>0.46343000000000001</c:v>
                </c:pt>
                <c:pt idx="2">
                  <c:v>1.39029</c:v>
                </c:pt>
                <c:pt idx="3">
                  <c:v>2.3171500000000003</c:v>
                </c:pt>
                <c:pt idx="4">
                  <c:v>4.6343000000000005</c:v>
                </c:pt>
                <c:pt idx="5">
                  <c:v>6.9514500000000004</c:v>
                </c:pt>
              </c:numCache>
            </c:numRef>
          </c:xVal>
          <c:yVal>
            <c:numRef>
              <c:f>'[1]Master curve '!$C$4:$C$9</c:f>
              <c:numCache>
                <c:formatCode>General</c:formatCode>
                <c:ptCount val="6"/>
                <c:pt idx="0">
                  <c:v>1</c:v>
                </c:pt>
                <c:pt idx="1">
                  <c:v>2.1760926330628849</c:v>
                </c:pt>
                <c:pt idx="2">
                  <c:v>5.3341964134827426</c:v>
                </c:pt>
                <c:pt idx="3">
                  <c:v>13.912308050625274</c:v>
                </c:pt>
                <c:pt idx="4">
                  <c:v>88.928665180652956</c:v>
                </c:pt>
                <c:pt idx="5">
                  <c:v>309.8095244119408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F5-4CE6-9C23-E0CC3EFFC526}"/>
            </c:ext>
          </c:extLst>
        </c:ser>
        <c:ser>
          <c:idx val="1"/>
          <c:order val="1"/>
          <c:tx>
            <c:v>30c</c:v>
          </c:tx>
          <c:spPr>
            <a:ln w="19050" cap="rnd">
              <a:noFill/>
              <a:round/>
            </a:ln>
            <a:effectLst/>
          </c:spPr>
          <c:marker>
            <c:symbol val="star"/>
            <c:size val="10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'[1]Master curve '!$D$4:$D$9</c:f>
              <c:numCache>
                <c:formatCode>General</c:formatCode>
                <c:ptCount val="6"/>
                <c:pt idx="0">
                  <c:v>0</c:v>
                </c:pt>
                <c:pt idx="1">
                  <c:v>0.40656000000000009</c:v>
                </c:pt>
                <c:pt idx="2">
                  <c:v>1.2196800000000003</c:v>
                </c:pt>
                <c:pt idx="3">
                  <c:v>2.0328000000000004</c:v>
                </c:pt>
                <c:pt idx="4">
                  <c:v>4.0656000000000008</c:v>
                </c:pt>
                <c:pt idx="5">
                  <c:v>6.0984000000000007</c:v>
                </c:pt>
              </c:numCache>
            </c:numRef>
          </c:xVal>
          <c:yVal>
            <c:numRef>
              <c:f>'[1]Master curve '!$E$4:$E$9</c:f>
              <c:numCache>
                <c:formatCode>General</c:formatCode>
                <c:ptCount val="6"/>
                <c:pt idx="0">
                  <c:v>1</c:v>
                </c:pt>
                <c:pt idx="1">
                  <c:v>2.2466354848381864</c:v>
                </c:pt>
                <c:pt idx="2">
                  <c:v>4.8344075598041334</c:v>
                </c:pt>
                <c:pt idx="3">
                  <c:v>11.403097559801452</c:v>
                </c:pt>
                <c:pt idx="4">
                  <c:v>64.244160207182574</c:v>
                </c:pt>
                <c:pt idx="5">
                  <c:v>186.74864185754157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BF5-4CE6-9C23-E0CC3EFFC526}"/>
            </c:ext>
          </c:extLst>
        </c:ser>
        <c:ser>
          <c:idx val="2"/>
          <c:order val="2"/>
          <c:tx>
            <c:v>40c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'[1]Master curve '!$F$4:$F$9</c:f>
              <c:numCache>
                <c:formatCode>General</c:formatCode>
                <c:ptCount val="6"/>
                <c:pt idx="0">
                  <c:v>0</c:v>
                </c:pt>
                <c:pt idx="1">
                  <c:v>0.36663000000000007</c:v>
                </c:pt>
                <c:pt idx="2">
                  <c:v>1.0998900000000003</c:v>
                </c:pt>
                <c:pt idx="3">
                  <c:v>1.8331500000000005</c:v>
                </c:pt>
                <c:pt idx="4">
                  <c:v>3.666300000000001</c:v>
                </c:pt>
                <c:pt idx="5">
                  <c:v>5.4994500000000004</c:v>
                </c:pt>
              </c:numCache>
            </c:numRef>
          </c:xVal>
          <c:yVal>
            <c:numRef>
              <c:f>'[1]Master curve '!$G$4:$G$9</c:f>
              <c:numCache>
                <c:formatCode>General</c:formatCode>
                <c:ptCount val="6"/>
                <c:pt idx="0">
                  <c:v>1</c:v>
                </c:pt>
                <c:pt idx="1">
                  <c:v>2.1883847826285967</c:v>
                </c:pt>
                <c:pt idx="2">
                  <c:v>4.2746626102241567</c:v>
                </c:pt>
                <c:pt idx="3">
                  <c:v>9.4822003739417173</c:v>
                </c:pt>
                <c:pt idx="4">
                  <c:v>48.341302617025882</c:v>
                </c:pt>
                <c:pt idx="5">
                  <c:v>127.5116105175925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BF5-4CE6-9C23-E0CC3EFFC526}"/>
            </c:ext>
          </c:extLst>
        </c:ser>
        <c:ser>
          <c:idx val="3"/>
          <c:order val="3"/>
          <c:tx>
            <c:v>50c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'[1]Master curve '!$H$4:$H$9</c:f>
              <c:numCache>
                <c:formatCode>General</c:formatCode>
                <c:ptCount val="6"/>
                <c:pt idx="0">
                  <c:v>0</c:v>
                </c:pt>
                <c:pt idx="1">
                  <c:v>0.31581000000000004</c:v>
                </c:pt>
                <c:pt idx="2">
                  <c:v>0.94743000000000022</c:v>
                </c:pt>
                <c:pt idx="3">
                  <c:v>1.5790500000000005</c:v>
                </c:pt>
                <c:pt idx="4">
                  <c:v>3.158100000000001</c:v>
                </c:pt>
                <c:pt idx="5">
                  <c:v>4.7371500000000006</c:v>
                </c:pt>
              </c:numCache>
            </c:numRef>
          </c:xVal>
          <c:yVal>
            <c:numRef>
              <c:f>'[1]Master curve '!$I$4:$I$9</c:f>
              <c:numCache>
                <c:formatCode>General</c:formatCode>
                <c:ptCount val="6"/>
                <c:pt idx="0">
                  <c:v>1</c:v>
                </c:pt>
                <c:pt idx="1">
                  <c:v>2.2374461699130519</c:v>
                </c:pt>
                <c:pt idx="2">
                  <c:v>3.899343616452029</c:v>
                </c:pt>
                <c:pt idx="3">
                  <c:v>7.894655772937238</c:v>
                </c:pt>
                <c:pt idx="4">
                  <c:v>37.793765455410053</c:v>
                </c:pt>
                <c:pt idx="5">
                  <c:v>93.97729903183459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BF5-4CE6-9C23-E0CC3EFFC526}"/>
            </c:ext>
          </c:extLst>
        </c:ser>
        <c:ser>
          <c:idx val="4"/>
          <c:order val="4"/>
          <c:tx>
            <c:v>60c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'[1]Master curve '!$J$4:$J$9</c:f>
              <c:numCache>
                <c:formatCode>General</c:formatCode>
                <c:ptCount val="6"/>
                <c:pt idx="0">
                  <c:v>0</c:v>
                </c:pt>
                <c:pt idx="1">
                  <c:v>0.27830000000000005</c:v>
                </c:pt>
                <c:pt idx="2">
                  <c:v>0.83490000000000009</c:v>
                </c:pt>
                <c:pt idx="3">
                  <c:v>1.3915000000000002</c:v>
                </c:pt>
                <c:pt idx="4">
                  <c:v>2.7830000000000004</c:v>
                </c:pt>
                <c:pt idx="5">
                  <c:v>4.1745000000000001</c:v>
                </c:pt>
              </c:numCache>
            </c:numRef>
          </c:xVal>
          <c:yVal>
            <c:numRef>
              <c:f>'[1]Master curve '!$K$4:$K$9</c:f>
              <c:numCache>
                <c:formatCode>General</c:formatCode>
                <c:ptCount val="6"/>
                <c:pt idx="0">
                  <c:v>1</c:v>
                </c:pt>
                <c:pt idx="1">
                  <c:v>2.2698662647622796</c:v>
                </c:pt>
                <c:pt idx="2">
                  <c:v>3.4505459739152577</c:v>
                </c:pt>
                <c:pt idx="3">
                  <c:v>6.8941967002095623</c:v>
                </c:pt>
                <c:pt idx="4">
                  <c:v>29.255518640367381</c:v>
                </c:pt>
                <c:pt idx="5">
                  <c:v>70.999574221109228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BF5-4CE6-9C23-E0CC3EFFC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912904"/>
        <c:axId val="308913296"/>
      </c:scatterChart>
      <c:valAx>
        <c:axId val="308912904"/>
        <c:scaling>
          <c:logBase val="10"/>
          <c:orientation val="minMax"/>
          <c:max val="10"/>
          <c:min val="0.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mbria" panose="02040503050406030204" pitchFamily="18" charset="0"/>
                    <a:ea typeface="+mn-ea"/>
                    <a:cs typeface="+mn-cs"/>
                  </a:defRPr>
                </a:pPr>
                <a:r>
                  <a:rPr lang="en-GB" sz="1400" b="0" i="0" u="none" strike="noStrike" baseline="0">
                    <a:effectLst/>
                    <a:latin typeface="Cambria" panose="02040503050406030204" pitchFamily="18" charset="0"/>
                  </a:rPr>
                  <a:t>c [</a:t>
                </a:r>
                <a:r>
                  <a:rPr lang="el-GR" sz="1400" b="0" i="0" u="none" strike="noStrike" baseline="0">
                    <a:effectLst/>
                    <a:latin typeface="Cambria" panose="02040503050406030204" pitchFamily="18" charset="0"/>
                    <a:cs typeface="Arial" panose="020B0604020202020204" pitchFamily="34" charset="0"/>
                  </a:rPr>
                  <a:t>η</a:t>
                </a:r>
                <a:r>
                  <a:rPr lang="en-GB" sz="1400" b="0" i="0" u="none" strike="noStrike" baseline="0">
                    <a:effectLst/>
                    <a:latin typeface="Cambria" panose="02040503050406030204" pitchFamily="18" charset="0"/>
                  </a:rPr>
                  <a:t>]</a:t>
                </a:r>
                <a:r>
                  <a:rPr lang="en-GB" sz="1400" b="0" i="0" u="none" strike="noStrike" baseline="0">
                    <a:latin typeface="Cambria" panose="02040503050406030204" pitchFamily="18" charset="0"/>
                  </a:rPr>
                  <a:t> </a:t>
                </a:r>
                <a:endParaRPr lang="en-GB" sz="1400">
                  <a:latin typeface="Cambria" panose="020405030504060302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mbria" panose="020405030504060302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913296"/>
        <c:crossesAt val="1.0000000000000002E-2"/>
        <c:crossBetween val="midCat"/>
      </c:valAx>
      <c:valAx>
        <c:axId val="308913296"/>
        <c:scaling>
          <c:logBase val="10"/>
          <c:orientation val="minMax"/>
          <c:min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mbria" panose="02040503050406030204" pitchFamily="18" charset="0"/>
                    <a:ea typeface="+mn-ea"/>
                    <a:cs typeface="+mn-cs"/>
                  </a:defRPr>
                </a:pPr>
                <a:r>
                  <a:rPr lang="el-GR" sz="1400">
                    <a:latin typeface="Cambria" panose="02040503050406030204" pitchFamily="18" charset="0"/>
                    <a:cs typeface="Arial" panose="020B0604020202020204" pitchFamily="34" charset="0"/>
                  </a:rPr>
                  <a:t>η</a:t>
                </a:r>
                <a:r>
                  <a:rPr lang="en-GB" sz="1400">
                    <a:latin typeface="Cambria" panose="02040503050406030204" pitchFamily="18" charset="0"/>
                    <a:cs typeface="Arial" panose="020B0604020202020204" pitchFamily="34" charset="0"/>
                  </a:rPr>
                  <a:t>rel</a:t>
                </a:r>
                <a:endParaRPr lang="en-GB" sz="1400">
                  <a:latin typeface="Cambria" panose="020405030504060302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mbria" panose="020405030504060302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in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912904"/>
        <c:crossesAt val="0.1"/>
        <c:crossBetween val="midCat"/>
      </c:valAx>
      <c:spPr>
        <a:noFill/>
        <a:ln w="25400">
          <a:noFill/>
        </a:ln>
        <a:effectLst/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86925728164951732"/>
          <c:y val="0.37136377952755906"/>
          <c:w val="8.2473286344824856E-2"/>
          <c:h val="0.333727342905666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6"/>
            <c:intercept val="1"/>
            <c:dispRSqr val="0"/>
            <c:dispEq val="0"/>
          </c:trendline>
          <c:xVal>
            <c:numRef>
              <c:f>'Intrinsic viscosity of xylan'!$B$22:$B$51</c:f>
              <c:numCache>
                <c:formatCode>General</c:formatCode>
                <c:ptCount val="30"/>
                <c:pt idx="0">
                  <c:v>0</c:v>
                </c:pt>
                <c:pt idx="1">
                  <c:v>0.46343000000000001</c:v>
                </c:pt>
                <c:pt idx="2">
                  <c:v>1.39029</c:v>
                </c:pt>
                <c:pt idx="3">
                  <c:v>2.3171500000000003</c:v>
                </c:pt>
                <c:pt idx="4">
                  <c:v>4.6343000000000005</c:v>
                </c:pt>
                <c:pt idx="5">
                  <c:v>6.9514500000000004</c:v>
                </c:pt>
                <c:pt idx="6">
                  <c:v>0</c:v>
                </c:pt>
                <c:pt idx="7">
                  <c:v>0.40656000000000009</c:v>
                </c:pt>
                <c:pt idx="8">
                  <c:v>1.2196800000000003</c:v>
                </c:pt>
                <c:pt idx="9">
                  <c:v>2.0328000000000004</c:v>
                </c:pt>
                <c:pt idx="10">
                  <c:v>4.0656000000000008</c:v>
                </c:pt>
                <c:pt idx="11">
                  <c:v>6.0984000000000007</c:v>
                </c:pt>
                <c:pt idx="12">
                  <c:v>0</c:v>
                </c:pt>
                <c:pt idx="13">
                  <c:v>0.36663000000000007</c:v>
                </c:pt>
                <c:pt idx="14">
                  <c:v>1.0998900000000003</c:v>
                </c:pt>
                <c:pt idx="15">
                  <c:v>1.8331500000000005</c:v>
                </c:pt>
                <c:pt idx="16">
                  <c:v>3.666300000000001</c:v>
                </c:pt>
                <c:pt idx="17">
                  <c:v>5.4994500000000004</c:v>
                </c:pt>
                <c:pt idx="18">
                  <c:v>0</c:v>
                </c:pt>
                <c:pt idx="19">
                  <c:v>0.31581000000000004</c:v>
                </c:pt>
                <c:pt idx="20">
                  <c:v>0.94743000000000022</c:v>
                </c:pt>
                <c:pt idx="21">
                  <c:v>1.5790500000000005</c:v>
                </c:pt>
                <c:pt idx="22">
                  <c:v>3.158100000000001</c:v>
                </c:pt>
                <c:pt idx="23">
                  <c:v>4.7371500000000006</c:v>
                </c:pt>
                <c:pt idx="24">
                  <c:v>0</c:v>
                </c:pt>
                <c:pt idx="25">
                  <c:v>0.27830000000000005</c:v>
                </c:pt>
                <c:pt idx="26">
                  <c:v>0.83490000000000009</c:v>
                </c:pt>
                <c:pt idx="27">
                  <c:v>1.3915000000000002</c:v>
                </c:pt>
                <c:pt idx="28">
                  <c:v>2.7830000000000004</c:v>
                </c:pt>
                <c:pt idx="29">
                  <c:v>4.1745000000000001</c:v>
                </c:pt>
              </c:numCache>
            </c:numRef>
          </c:xVal>
          <c:yVal>
            <c:numRef>
              <c:f>'Intrinsic viscosity of xylan'!$C$22:$C$51</c:f>
              <c:numCache>
                <c:formatCode>0.00E+00</c:formatCode>
                <c:ptCount val="30"/>
                <c:pt idx="0">
                  <c:v>1</c:v>
                </c:pt>
                <c:pt idx="1">
                  <c:v>2.1760926330628849</c:v>
                </c:pt>
                <c:pt idx="2">
                  <c:v>5.3341964134827426</c:v>
                </c:pt>
                <c:pt idx="3">
                  <c:v>13.912308050625274</c:v>
                </c:pt>
                <c:pt idx="4">
                  <c:v>88.928665180652956</c:v>
                </c:pt>
                <c:pt idx="5">
                  <c:v>309.8095244119408</c:v>
                </c:pt>
                <c:pt idx="6" formatCode="General">
                  <c:v>1</c:v>
                </c:pt>
                <c:pt idx="7" formatCode="General">
                  <c:v>2.2466354848381864</c:v>
                </c:pt>
                <c:pt idx="8" formatCode="General">
                  <c:v>4.8344075598041334</c:v>
                </c:pt>
                <c:pt idx="9" formatCode="General">
                  <c:v>11.403097559801452</c:v>
                </c:pt>
                <c:pt idx="10" formatCode="General">
                  <c:v>64.244160207182574</c:v>
                </c:pt>
                <c:pt idx="11" formatCode="General">
                  <c:v>186.74864185754157</c:v>
                </c:pt>
                <c:pt idx="12" formatCode="General">
                  <c:v>1</c:v>
                </c:pt>
                <c:pt idx="13" formatCode="General">
                  <c:v>2.1883847826285967</c:v>
                </c:pt>
                <c:pt idx="14" formatCode="General">
                  <c:v>4.2746626102241567</c:v>
                </c:pt>
                <c:pt idx="15" formatCode="General">
                  <c:v>9.4822003739417173</c:v>
                </c:pt>
                <c:pt idx="16" formatCode="General">
                  <c:v>48.341302617025882</c:v>
                </c:pt>
                <c:pt idx="17" formatCode="General">
                  <c:v>127.5116105175925</c:v>
                </c:pt>
                <c:pt idx="18" formatCode="General">
                  <c:v>1</c:v>
                </c:pt>
                <c:pt idx="19" formatCode="General">
                  <c:v>2.2374461699130519</c:v>
                </c:pt>
                <c:pt idx="20" formatCode="General">
                  <c:v>3.899343616452029</c:v>
                </c:pt>
                <c:pt idx="21" formatCode="General">
                  <c:v>7.894655772937238</c:v>
                </c:pt>
                <c:pt idx="22" formatCode="General">
                  <c:v>37.793765455410053</c:v>
                </c:pt>
                <c:pt idx="23" formatCode="General">
                  <c:v>93.97729903183459</c:v>
                </c:pt>
                <c:pt idx="24" formatCode="General">
                  <c:v>1</c:v>
                </c:pt>
                <c:pt idx="25" formatCode="General">
                  <c:v>2.2698662647622796</c:v>
                </c:pt>
                <c:pt idx="26" formatCode="General">
                  <c:v>3.4505459739152577</c:v>
                </c:pt>
                <c:pt idx="27" formatCode="General">
                  <c:v>6.8941967002095623</c:v>
                </c:pt>
                <c:pt idx="28" formatCode="General">
                  <c:v>29.255518640367381</c:v>
                </c:pt>
                <c:pt idx="29" formatCode="General">
                  <c:v>70.999574221109228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B6-4067-87F2-4B536AB20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914080"/>
        <c:axId val="307936688"/>
      </c:scatterChart>
      <c:valAx>
        <c:axId val="308914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936688"/>
        <c:crosses val="autoZero"/>
        <c:crossBetween val="midCat"/>
      </c:valAx>
      <c:valAx>
        <c:axId val="307936688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914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 i="0" baseline="0">
                <a:effectLst/>
              </a:rPr>
              <a:t>1000/ T ( K)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948701788503885"/>
          <c:y val="0.19386235811432662"/>
          <c:w val="0.81334335003549496"/>
          <c:h val="0.73050982263580688"/>
        </c:manualLayout>
      </c:layout>
      <c:scatterChart>
        <c:scatterStyle val="smoothMarker"/>
        <c:varyColors val="0"/>
        <c:ser>
          <c:idx val="5"/>
          <c:order val="0"/>
          <c:tx>
            <c:v>15%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1324203430950232"/>
                  <c:y val="-5.992705457272386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'[1]Master curve '!$Z$4:$AD$4</c:f>
              <c:numCache>
                <c:formatCode>General</c:formatCode>
                <c:ptCount val="5"/>
                <c:pt idx="0">
                  <c:v>3.411222923418046</c:v>
                </c:pt>
                <c:pt idx="1">
                  <c:v>3.2986970146792021</c:v>
                </c:pt>
                <c:pt idx="2">
                  <c:v>3.1933578157432541</c:v>
                </c:pt>
                <c:pt idx="3">
                  <c:v>3.0945381401825776</c:v>
                </c:pt>
                <c:pt idx="4">
                  <c:v>3.0016509079993998</c:v>
                </c:pt>
              </c:numCache>
            </c:numRef>
          </c:xVal>
          <c:yVal>
            <c:numRef>
              <c:f>'[1]Master curve '!$Z$10:$AD$10</c:f>
              <c:numCache>
                <c:formatCode>General</c:formatCode>
                <c:ptCount val="5"/>
                <c:pt idx="0">
                  <c:v>3.9297138078253204</c:v>
                </c:pt>
                <c:pt idx="1">
                  <c:v>2.7733510597210427</c:v>
                </c:pt>
                <c:pt idx="2">
                  <c:v>1.8758009750850924</c:v>
                </c:pt>
                <c:pt idx="3">
                  <c:v>1.1260313214338038</c:v>
                </c:pt>
                <c:pt idx="4">
                  <c:v>0.48132819835101853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1F90-47E1-88B5-662FFE660A80}"/>
            </c:ext>
          </c:extLst>
        </c:ser>
        <c:ser>
          <c:idx val="4"/>
          <c:order val="1"/>
          <c:tx>
            <c:v>10%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'[1]Master curve '!$Z$4:$AD$4</c:f>
              <c:numCache>
                <c:formatCode>General</c:formatCode>
                <c:ptCount val="5"/>
                <c:pt idx="0">
                  <c:v>3.411222923418046</c:v>
                </c:pt>
                <c:pt idx="1">
                  <c:v>3.2986970146792021</c:v>
                </c:pt>
                <c:pt idx="2">
                  <c:v>3.1933578157432541</c:v>
                </c:pt>
                <c:pt idx="3">
                  <c:v>3.0945381401825776</c:v>
                </c:pt>
                <c:pt idx="4">
                  <c:v>3.0016509079993998</c:v>
                </c:pt>
              </c:numCache>
            </c:numRef>
          </c:xVal>
          <c:yVal>
            <c:numRef>
              <c:f>'[1]Master curve '!$Z$9:$AD$9</c:f>
              <c:numCache>
                <c:formatCode>General</c:formatCode>
                <c:ptCount val="5"/>
                <c:pt idx="0">
                  <c:v>2.6815906700942391</c:v>
                </c:pt>
                <c:pt idx="1">
                  <c:v>1.7062783361784961</c:v>
                </c:pt>
                <c:pt idx="2">
                  <c:v>0.9058798736420417</c:v>
                </c:pt>
                <c:pt idx="3">
                  <c:v>0.21512222197107334</c:v>
                </c:pt>
                <c:pt idx="4">
                  <c:v>-0.40527745443933544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1F90-47E1-88B5-662FFE660A80}"/>
            </c:ext>
          </c:extLst>
        </c:ser>
        <c:ser>
          <c:idx val="3"/>
          <c:order val="2"/>
          <c:tx>
            <c:v>5%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'[1]Master curve '!$Z$4:$AD$4</c:f>
              <c:numCache>
                <c:formatCode>General</c:formatCode>
                <c:ptCount val="5"/>
                <c:pt idx="0">
                  <c:v>3.411222923418046</c:v>
                </c:pt>
                <c:pt idx="1">
                  <c:v>3.2986970146792021</c:v>
                </c:pt>
                <c:pt idx="2">
                  <c:v>3.1933578157432541</c:v>
                </c:pt>
                <c:pt idx="3">
                  <c:v>3.0945381401825776</c:v>
                </c:pt>
                <c:pt idx="4">
                  <c:v>3.0016509079993998</c:v>
                </c:pt>
              </c:numCache>
            </c:numRef>
          </c:xVal>
          <c:yVal>
            <c:numRef>
              <c:f>'[1]Master curve '!$Z$8:$AD$8</c:f>
              <c:numCache>
                <c:formatCode>General</c:formatCode>
                <c:ptCount val="5"/>
                <c:pt idx="0">
                  <c:v>0.82653005617720665</c:v>
                </c:pt>
                <c:pt idx="1">
                  <c:v>-2.2527457484465965E-2</c:v>
                </c:pt>
                <c:pt idx="2">
                  <c:v>-0.7229900519603385</c:v>
                </c:pt>
                <c:pt idx="3">
                  <c:v>-1.3508358858933189</c:v>
                </c:pt>
                <c:pt idx="4">
                  <c:v>-1.8506656820116296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1F90-47E1-88B5-662FFE660A80}"/>
            </c:ext>
          </c:extLst>
        </c:ser>
        <c:ser>
          <c:idx val="0"/>
          <c:order val="3"/>
          <c:tx>
            <c:v>3%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'[1]Master curve '!$Z$4:$AD$4</c:f>
              <c:numCache>
                <c:formatCode>General</c:formatCode>
                <c:ptCount val="5"/>
                <c:pt idx="0">
                  <c:v>3.411222923418046</c:v>
                </c:pt>
                <c:pt idx="1">
                  <c:v>3.2986970146792021</c:v>
                </c:pt>
                <c:pt idx="2">
                  <c:v>3.1933578157432541</c:v>
                </c:pt>
                <c:pt idx="3">
                  <c:v>3.0945381401825776</c:v>
                </c:pt>
                <c:pt idx="4">
                  <c:v>3.0016509079993998</c:v>
                </c:pt>
              </c:numCache>
            </c:numRef>
          </c:xVal>
          <c:yVal>
            <c:numRef>
              <c:f>'[1]Master curve '!$Z$7:$AD$7</c:f>
              <c:numCache>
                <c:formatCode>General</c:formatCode>
                <c:ptCount val="5"/>
                <c:pt idx="0">
                  <c:v>-0.1321056154220048</c:v>
                </c:pt>
                <c:pt idx="1">
                  <c:v>-0.88065390193263604</c:v>
                </c:pt>
                <c:pt idx="2">
                  <c:v>-1.5197012705612354</c:v>
                </c:pt>
                <c:pt idx="3">
                  <c:v>-2.0562136965119837</c:v>
                </c:pt>
                <c:pt idx="4">
                  <c:v>-2.542813209955225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1F90-47E1-88B5-662FFE660A80}"/>
            </c:ext>
          </c:extLst>
        </c:ser>
        <c:ser>
          <c:idx val="1"/>
          <c:order val="4"/>
          <c:tx>
            <c:v>1%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'[1]Master curve '!$Z$4:$AD$4</c:f>
              <c:numCache>
                <c:formatCode>General</c:formatCode>
                <c:ptCount val="5"/>
                <c:pt idx="0">
                  <c:v>3.411222923418046</c:v>
                </c:pt>
                <c:pt idx="1">
                  <c:v>3.2986970146792021</c:v>
                </c:pt>
                <c:pt idx="2">
                  <c:v>3.1933578157432541</c:v>
                </c:pt>
                <c:pt idx="3">
                  <c:v>3.0945381401825776</c:v>
                </c:pt>
                <c:pt idx="4">
                  <c:v>3.0016509079993998</c:v>
                </c:pt>
              </c:numCache>
            </c:numRef>
          </c:xVal>
          <c:yVal>
            <c:numRef>
              <c:f>'[1]Master curve '!$Z$6:$AD$6</c:f>
              <c:numCache>
                <c:formatCode>General</c:formatCode>
                <c:ptCount val="5"/>
                <c:pt idx="0">
                  <c:v>-1.0287129650000244</c:v>
                </c:pt>
                <c:pt idx="1">
                  <c:v>-1.646978734741281</c:v>
                </c:pt>
                <c:pt idx="2">
                  <c:v>-2.1892427187188477</c:v>
                </c:pt>
                <c:pt idx="3">
                  <c:v>-2.6116868192710734</c:v>
                </c:pt>
                <c:pt idx="4">
                  <c:v>-2.9616247662303672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1F90-47E1-88B5-662FFE660A80}"/>
            </c:ext>
          </c:extLst>
        </c:ser>
        <c:ser>
          <c:idx val="2"/>
          <c:order val="5"/>
          <c:tx>
            <c:v>0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5.5718332435702914E-2"/>
                  <c:y val="0.1968033541261886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'[1]Master curve '!$Z$4:$AD$4</c:f>
              <c:numCache>
                <c:formatCode>General</c:formatCode>
                <c:ptCount val="5"/>
                <c:pt idx="0">
                  <c:v>3.411222923418046</c:v>
                </c:pt>
                <c:pt idx="1">
                  <c:v>3.2986970146792021</c:v>
                </c:pt>
                <c:pt idx="2">
                  <c:v>3.1933578157432541</c:v>
                </c:pt>
                <c:pt idx="3">
                  <c:v>3.0945381401825776</c:v>
                </c:pt>
                <c:pt idx="4">
                  <c:v>3.0016509079993998</c:v>
                </c:pt>
              </c:numCache>
            </c:numRef>
          </c:xVal>
          <c:yVal>
            <c:numRef>
              <c:f>'[1]Master curve '!$Z$5:$AD$5</c:f>
              <c:numCache>
                <c:formatCode>General</c:formatCode>
                <c:ptCount val="5"/>
                <c:pt idx="0">
                  <c:v>-1.8062438634290285</c:v>
                </c:pt>
                <c:pt idx="1">
                  <c:v>-2.4564124917489281</c:v>
                </c:pt>
                <c:pt idx="2">
                  <c:v>-2.9724064482504944</c:v>
                </c:pt>
                <c:pt idx="3">
                  <c:v>-3.4170219320091269</c:v>
                </c:pt>
                <c:pt idx="4">
                  <c:v>-3.7813456817865299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1F90-47E1-88B5-662FFE660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7937472"/>
        <c:axId val="307937864"/>
      </c:scatterChart>
      <c:valAx>
        <c:axId val="307937472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937864"/>
        <c:crosses val="autoZero"/>
        <c:crossBetween val="midCat"/>
      </c:valAx>
      <c:valAx>
        <c:axId val="3079378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1" i="0" baseline="0">
                    <a:effectLst/>
                  </a:rPr>
                  <a:t>ln (</a:t>
                </a:r>
                <a:r>
                  <a:rPr lang="el-GR" sz="1400" b="1" i="0" baseline="0">
                    <a:effectLst/>
                  </a:rPr>
                  <a:t>η</a:t>
                </a:r>
                <a:r>
                  <a:rPr lang="en-GB" sz="1400" b="1" i="0" baseline="0">
                    <a:effectLst/>
                  </a:rPr>
                  <a:t> ̥ / pa.s) </a:t>
                </a:r>
                <a:endParaRPr lang="en-GB" sz="14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449105630290548E-2"/>
              <c:y val="0.469283157787094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9374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6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xylan in EMIMAc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'[1]Master curve '!$Y$5:$Y$10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</c:numCache>
            </c:numRef>
          </c:xVal>
          <c:yVal>
            <c:numRef>
              <c:f>'[1]Master curve '!$AF$5:$AF$10</c:f>
              <c:numCache>
                <c:formatCode>General</c:formatCode>
                <c:ptCount val="6"/>
                <c:pt idx="0">
                  <c:v>40.006968000000001</c:v>
                </c:pt>
                <c:pt idx="1">
                  <c:v>39.358476000000003</c:v>
                </c:pt>
                <c:pt idx="2">
                  <c:v>48.819807999999995</c:v>
                </c:pt>
                <c:pt idx="3">
                  <c:v>54.415129999999998</c:v>
                </c:pt>
                <c:pt idx="4">
                  <c:v>62.396569999999997</c:v>
                </c:pt>
                <c:pt idx="5">
                  <c:v>69.621436000000003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E9E-4F66-B5E9-52F111DFABBB}"/>
            </c:ext>
          </c:extLst>
        </c:ser>
        <c:ser>
          <c:idx val="1"/>
          <c:order val="1"/>
          <c:tx>
            <c:v>power law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'[1]Master curve '!$Y$5:$Y$10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</c:numCache>
            </c:numRef>
          </c:xVal>
          <c:yVal>
            <c:numRef>
              <c:f>'[1]Master curve '!$AJ$5:$AJ$10</c:f>
              <c:numCache>
                <c:formatCode>General</c:formatCode>
                <c:ptCount val="6"/>
                <c:pt idx="0">
                  <c:v>40.006968000000001</c:v>
                </c:pt>
                <c:pt idx="1">
                  <c:v>44.114925132779874</c:v>
                </c:pt>
                <c:pt idx="2">
                  <c:v>49.238943476479228</c:v>
                </c:pt>
                <c:pt idx="3">
                  <c:v>53.459724889297057</c:v>
                </c:pt>
                <c:pt idx="4">
                  <c:v>62.429753626931571</c:v>
                </c:pt>
                <c:pt idx="5">
                  <c:v>70.239883699629928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9E-4F66-B5E9-52F111DFA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7938648"/>
        <c:axId val="307939040"/>
      </c:scatterChart>
      <c:valAx>
        <c:axId val="307938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concentration w/w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939040"/>
        <c:crosses val="autoZero"/>
        <c:crossBetween val="midCat"/>
      </c:valAx>
      <c:valAx>
        <c:axId val="307939040"/>
        <c:scaling>
          <c:orientation val="minMax"/>
          <c:max val="80"/>
          <c:min val="3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Activation</a:t>
                </a:r>
                <a:r>
                  <a:rPr lang="en-GB" baseline="0"/>
                  <a:t> Energy (kJ/mol)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938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207403372648727"/>
          <c:y val="7.5686004998522391E-2"/>
          <c:w val="0.85384430365322572"/>
          <c:h val="0.77015704474482172"/>
        </c:manualLayout>
      </c:layout>
      <c:scatterChart>
        <c:scatterStyle val="lineMarker"/>
        <c:varyColors val="0"/>
        <c:ser>
          <c:idx val="1"/>
          <c:order val="0"/>
          <c:tx>
            <c:strRef>
              <c:f>'[1]Master curve '!$T$30</c:f>
              <c:strCache>
                <c:ptCount val="1"/>
                <c:pt idx="0">
                  <c:v>cellulose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errBars>
            <c:errDir val="x"/>
            <c:errBarType val="both"/>
            <c:errValType val="fixedVal"/>
            <c:noEndCap val="0"/>
            <c:val val="0.4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fixedVal"/>
            <c:noEndCap val="0"/>
            <c:val val="0.1200000000000000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'[1]Master curve '!$R$31:$R$35</c:f>
              <c:numCache>
                <c:formatCode>General</c:formatCode>
                <c:ptCount val="5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</c:numCache>
            </c:numRef>
          </c:xVal>
          <c:yVal>
            <c:numRef>
              <c:f>'[1]Master curve '!$T$31:$T$35</c:f>
              <c:numCache>
                <c:formatCode>General</c:formatCode>
                <c:ptCount val="5"/>
                <c:pt idx="0">
                  <c:v>105.50380590873543</c:v>
                </c:pt>
                <c:pt idx="1">
                  <c:v>99.288723692372372</c:v>
                </c:pt>
                <c:pt idx="2">
                  <c:v>88.275569445794787</c:v>
                </c:pt>
                <c:pt idx="3">
                  <c:v>83.219058988217313</c:v>
                </c:pt>
                <c:pt idx="4">
                  <c:v>78.071540195545253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5CE-499F-9BC1-0EF0440CBC9F}"/>
            </c:ext>
          </c:extLst>
        </c:ser>
        <c:ser>
          <c:idx val="0"/>
          <c:order val="1"/>
          <c:tx>
            <c:strRef>
              <c:f>'[1]Master curve '!$S$30</c:f>
              <c:strCache>
                <c:ptCount val="1"/>
                <c:pt idx="0">
                  <c:v>xylan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x"/>
            <c:errBarType val="both"/>
            <c:errValType val="fixedVal"/>
            <c:noEndCap val="0"/>
            <c:val val="0.4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fixedVal"/>
            <c:noEndCap val="0"/>
            <c:val val="0.2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'[1]Master curve '!$R$31:$R$35</c:f>
              <c:numCache>
                <c:formatCode>General</c:formatCode>
                <c:ptCount val="5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</c:numCache>
            </c:numRef>
          </c:xVal>
          <c:yVal>
            <c:numRef>
              <c:f>'[1]Master curve '!$S$31:$S$35</c:f>
              <c:numCache>
                <c:formatCode>General</c:formatCode>
                <c:ptCount val="5"/>
                <c:pt idx="0">
                  <c:v>38.299999999999997</c:v>
                </c:pt>
                <c:pt idx="1">
                  <c:v>33.6</c:v>
                </c:pt>
                <c:pt idx="2">
                  <c:v>30.3</c:v>
                </c:pt>
                <c:pt idx="3">
                  <c:v>26.1</c:v>
                </c:pt>
                <c:pt idx="4">
                  <c:v>23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5CE-499F-9BC1-0EF0440CB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7939824"/>
        <c:axId val="307940216"/>
      </c:scatterChart>
      <c:valAx>
        <c:axId val="307939824"/>
        <c:scaling>
          <c:orientation val="minMax"/>
          <c:min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</a:t>
                </a:r>
                <a:r>
                  <a:rPr lang="en-GB" baseline="0"/>
                  <a:t> / C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940216"/>
        <c:crosses val="autoZero"/>
        <c:crossBetween val="midCat"/>
      </c:valAx>
      <c:valAx>
        <c:axId val="3079402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[eta]</a:t>
                </a:r>
                <a:r>
                  <a:rPr lang="en-GB" baseline="0"/>
                  <a:t> mL/g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1.881997648791784E-2"/>
              <c:y val="0.393163043020904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9398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83151494983010255"/>
          <c:y val="0.47621893604762822"/>
          <c:w val="0.11908870390217563"/>
          <c:h val="0.14779081009084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20c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'Intrinsic viscosity of xylan'!$B$13:$B$18</c:f>
              <c:numCache>
                <c:formatCode>General</c:formatCode>
                <c:ptCount val="6"/>
                <c:pt idx="0">
                  <c:v>0</c:v>
                </c:pt>
                <c:pt idx="1">
                  <c:v>0.46420000000000006</c:v>
                </c:pt>
                <c:pt idx="2">
                  <c:v>1.3926000000000001</c:v>
                </c:pt>
                <c:pt idx="3">
                  <c:v>2.3210000000000006</c:v>
                </c:pt>
                <c:pt idx="4">
                  <c:v>4.6420000000000012</c:v>
                </c:pt>
                <c:pt idx="5">
                  <c:v>6.963000000000001</c:v>
                </c:pt>
              </c:numCache>
            </c:numRef>
          </c:xVal>
          <c:yVal>
            <c:numRef>
              <c:f>'Intrinsic viscosity of xylan'!$C$13:$C$18</c:f>
              <c:numCache>
                <c:formatCode>0.00E+00</c:formatCode>
                <c:ptCount val="6"/>
                <c:pt idx="0">
                  <c:v>0</c:v>
                </c:pt>
                <c:pt idx="1">
                  <c:v>1.1760926330628849</c:v>
                </c:pt>
                <c:pt idx="2">
                  <c:v>4.3341964134827426</c:v>
                </c:pt>
                <c:pt idx="3">
                  <c:v>12.912308050625274</c:v>
                </c:pt>
                <c:pt idx="4">
                  <c:v>87.928665180652956</c:v>
                </c:pt>
                <c:pt idx="5">
                  <c:v>308.8095244119408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3B5-4915-B8E1-1D7DBA553957}"/>
            </c:ext>
          </c:extLst>
        </c:ser>
        <c:ser>
          <c:idx val="1"/>
          <c:order val="1"/>
          <c:tx>
            <c:v>30c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'Intrinsic viscosity of xylan'!$D$13:$D$18</c:f>
              <c:numCache>
                <c:formatCode>General</c:formatCode>
                <c:ptCount val="6"/>
                <c:pt idx="0">
                  <c:v>0</c:v>
                </c:pt>
                <c:pt idx="1">
                  <c:v>0.40656000000000009</c:v>
                </c:pt>
                <c:pt idx="2">
                  <c:v>1.2196800000000003</c:v>
                </c:pt>
                <c:pt idx="3">
                  <c:v>2.0328000000000004</c:v>
                </c:pt>
                <c:pt idx="4">
                  <c:v>4.0656000000000008</c:v>
                </c:pt>
                <c:pt idx="5">
                  <c:v>6.0984000000000007</c:v>
                </c:pt>
              </c:numCache>
            </c:numRef>
          </c:xVal>
          <c:yVal>
            <c:numRef>
              <c:f>'Intrinsic viscosity of xylan'!$E$13:$E$18</c:f>
              <c:numCache>
                <c:formatCode>General</c:formatCode>
                <c:ptCount val="6"/>
                <c:pt idx="0">
                  <c:v>0</c:v>
                </c:pt>
                <c:pt idx="1">
                  <c:v>1.2466354848381864</c:v>
                </c:pt>
                <c:pt idx="2">
                  <c:v>3.8344075598041334</c:v>
                </c:pt>
                <c:pt idx="3">
                  <c:v>10.403097559801452</c:v>
                </c:pt>
                <c:pt idx="4">
                  <c:v>63.244160207182574</c:v>
                </c:pt>
                <c:pt idx="5">
                  <c:v>185.74864185754157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3B5-4915-B8E1-1D7DBA553957}"/>
            </c:ext>
          </c:extLst>
        </c:ser>
        <c:ser>
          <c:idx val="2"/>
          <c:order val="2"/>
          <c:tx>
            <c:v>40c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'Intrinsic viscosity of xylan'!$F$13:$F$18</c:f>
              <c:numCache>
                <c:formatCode>General</c:formatCode>
                <c:ptCount val="6"/>
                <c:pt idx="0">
                  <c:v>0</c:v>
                </c:pt>
                <c:pt idx="1">
                  <c:v>0.36663000000000007</c:v>
                </c:pt>
                <c:pt idx="2">
                  <c:v>1.0998900000000003</c:v>
                </c:pt>
                <c:pt idx="3">
                  <c:v>1.8331500000000005</c:v>
                </c:pt>
                <c:pt idx="4">
                  <c:v>3.666300000000001</c:v>
                </c:pt>
                <c:pt idx="5">
                  <c:v>5.4994500000000004</c:v>
                </c:pt>
              </c:numCache>
            </c:numRef>
          </c:xVal>
          <c:yVal>
            <c:numRef>
              <c:f>'Intrinsic viscosity of xylan'!$G$13:$G$18</c:f>
              <c:numCache>
                <c:formatCode>General</c:formatCode>
                <c:ptCount val="6"/>
                <c:pt idx="0">
                  <c:v>0</c:v>
                </c:pt>
                <c:pt idx="1">
                  <c:v>1.1883847826285967</c:v>
                </c:pt>
                <c:pt idx="2">
                  <c:v>3.2746626102241567</c:v>
                </c:pt>
                <c:pt idx="3">
                  <c:v>8.4822003739417173</c:v>
                </c:pt>
                <c:pt idx="4">
                  <c:v>47.341302617025882</c:v>
                </c:pt>
                <c:pt idx="5">
                  <c:v>126.5116105175925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3B5-4915-B8E1-1D7DBA553957}"/>
            </c:ext>
          </c:extLst>
        </c:ser>
        <c:ser>
          <c:idx val="3"/>
          <c:order val="3"/>
          <c:tx>
            <c:v>50c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'Intrinsic viscosity of xylan'!$H$13:$H$18</c:f>
              <c:numCache>
                <c:formatCode>General</c:formatCode>
                <c:ptCount val="6"/>
                <c:pt idx="0">
                  <c:v>0</c:v>
                </c:pt>
                <c:pt idx="1">
                  <c:v>0.31581000000000004</c:v>
                </c:pt>
                <c:pt idx="2">
                  <c:v>0.94743000000000022</c:v>
                </c:pt>
                <c:pt idx="3">
                  <c:v>1.5790500000000005</c:v>
                </c:pt>
                <c:pt idx="4">
                  <c:v>3.158100000000001</c:v>
                </c:pt>
                <c:pt idx="5">
                  <c:v>4.7371500000000006</c:v>
                </c:pt>
              </c:numCache>
            </c:numRef>
          </c:xVal>
          <c:yVal>
            <c:numRef>
              <c:f>'Intrinsic viscosity of xylan'!$I$13:$I$18</c:f>
              <c:numCache>
                <c:formatCode>General</c:formatCode>
                <c:ptCount val="6"/>
                <c:pt idx="0">
                  <c:v>0</c:v>
                </c:pt>
                <c:pt idx="1">
                  <c:v>1.2374461699130519</c:v>
                </c:pt>
                <c:pt idx="2">
                  <c:v>2.899343616452029</c:v>
                </c:pt>
                <c:pt idx="3">
                  <c:v>6.894655772937238</c:v>
                </c:pt>
                <c:pt idx="4">
                  <c:v>36.793765455410053</c:v>
                </c:pt>
                <c:pt idx="5">
                  <c:v>92.97729903183459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3B5-4915-B8E1-1D7DBA553957}"/>
            </c:ext>
          </c:extLst>
        </c:ser>
        <c:ser>
          <c:idx val="4"/>
          <c:order val="4"/>
          <c:tx>
            <c:v>60c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'Intrinsic viscosity of xylan'!$J$13:$J$18</c:f>
              <c:numCache>
                <c:formatCode>General</c:formatCode>
                <c:ptCount val="6"/>
                <c:pt idx="0">
                  <c:v>0</c:v>
                </c:pt>
                <c:pt idx="1">
                  <c:v>0.27830000000000005</c:v>
                </c:pt>
                <c:pt idx="2">
                  <c:v>0.83490000000000009</c:v>
                </c:pt>
                <c:pt idx="3">
                  <c:v>1.3915000000000002</c:v>
                </c:pt>
                <c:pt idx="4">
                  <c:v>2.7830000000000004</c:v>
                </c:pt>
                <c:pt idx="5">
                  <c:v>4.1745000000000001</c:v>
                </c:pt>
              </c:numCache>
            </c:numRef>
          </c:xVal>
          <c:yVal>
            <c:numRef>
              <c:f>'Intrinsic viscosity of xylan'!$K$13:$K$18</c:f>
              <c:numCache>
                <c:formatCode>General</c:formatCode>
                <c:ptCount val="6"/>
                <c:pt idx="0">
                  <c:v>0</c:v>
                </c:pt>
                <c:pt idx="1">
                  <c:v>1.2698662647622796</c:v>
                </c:pt>
                <c:pt idx="2">
                  <c:v>2.4505459739152577</c:v>
                </c:pt>
                <c:pt idx="3">
                  <c:v>5.8941967002095623</c:v>
                </c:pt>
                <c:pt idx="4">
                  <c:v>28.255518640367381</c:v>
                </c:pt>
                <c:pt idx="5">
                  <c:v>69.999574221109228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3B5-4915-B8E1-1D7DBA553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068160"/>
        <c:axId val="308068552"/>
      </c:scatterChart>
      <c:valAx>
        <c:axId val="308068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0" i="0" baseline="0">
                    <a:effectLst/>
                  </a:rPr>
                  <a:t>c [</a:t>
                </a:r>
                <a:r>
                  <a:rPr lang="el-GR" sz="1800" b="0" i="0" baseline="0">
                    <a:effectLst/>
                  </a:rPr>
                  <a:t>η</a:t>
                </a:r>
                <a:r>
                  <a:rPr lang="en-GB" sz="1800" b="0" i="0" baseline="0">
                    <a:effectLst/>
                  </a:rPr>
                  <a:t>] </a:t>
                </a:r>
                <a:endParaRPr lang="en-GB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068552"/>
        <c:crossesAt val="1"/>
        <c:crossBetween val="midCat"/>
      </c:valAx>
      <c:valAx>
        <c:axId val="3080685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sz="1800" b="0" i="0" baseline="0">
                    <a:effectLst/>
                  </a:rPr>
                  <a:t>η</a:t>
                </a:r>
                <a:r>
                  <a:rPr lang="en-GB" sz="1000" b="0" i="0" baseline="0">
                    <a:effectLst/>
                  </a:rPr>
                  <a:t>sp</a:t>
                </a:r>
                <a:endParaRPr lang="en-GB" sz="100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en-GB">
                  <a:effectLst/>
                </a:endParaRPr>
              </a:p>
            </c:rich>
          </c:tx>
          <c:layout>
            <c:manualLayout>
              <c:xMode val="edge"/>
              <c:yMode val="edge"/>
              <c:x val="1.1111111111111112E-2"/>
              <c:y val="0.362337416156313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068160"/>
        <c:crossesAt val="0.1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89851268591423"/>
          <c:y val="3.9560002916302128E-2"/>
          <c:w val="0.74760148731408582"/>
          <c:h val="0.72706542872243252"/>
        </c:manualLayout>
      </c:layout>
      <c:scatterChart>
        <c:scatterStyle val="smoothMarker"/>
        <c:varyColors val="0"/>
        <c:ser>
          <c:idx val="0"/>
          <c:order val="0"/>
          <c:tx>
            <c:v>20c</c:v>
          </c:tx>
          <c:spPr>
            <a:ln w="63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fixedVal"/>
            <c:noEndCap val="0"/>
            <c:val val="0.2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'[1]Master curve '!$A$5:$A$9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</c:numCache>
            </c:numRef>
          </c:xVal>
          <c:yVal>
            <c:numRef>
              <c:f>'[1]Master curve '!$C$5:$C$9</c:f>
              <c:numCache>
                <c:formatCode>General</c:formatCode>
                <c:ptCount val="5"/>
                <c:pt idx="0">
                  <c:v>2.1760926330628849</c:v>
                </c:pt>
                <c:pt idx="1">
                  <c:v>5.3341964134827426</c:v>
                </c:pt>
                <c:pt idx="2">
                  <c:v>13.912308050625274</c:v>
                </c:pt>
                <c:pt idx="3">
                  <c:v>88.928665180652956</c:v>
                </c:pt>
                <c:pt idx="4">
                  <c:v>309.8095244119408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4BC-46B8-A399-AF461D6CC685}"/>
            </c:ext>
          </c:extLst>
        </c:ser>
        <c:ser>
          <c:idx val="1"/>
          <c:order val="1"/>
          <c:tx>
            <c:v>30c</c:v>
          </c:tx>
          <c:spPr>
            <a:ln w="6350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'[1]Master curve '!$A$4:$A$9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</c:numCache>
            </c:numRef>
          </c:xVal>
          <c:yVal>
            <c:numRef>
              <c:f>'[1]Master curve '!$E$4:$E$9</c:f>
              <c:numCache>
                <c:formatCode>General</c:formatCode>
                <c:ptCount val="6"/>
                <c:pt idx="0">
                  <c:v>1</c:v>
                </c:pt>
                <c:pt idx="1">
                  <c:v>2.2466354848381864</c:v>
                </c:pt>
                <c:pt idx="2">
                  <c:v>4.8344075598041334</c:v>
                </c:pt>
                <c:pt idx="3">
                  <c:v>11.403097559801452</c:v>
                </c:pt>
                <c:pt idx="4">
                  <c:v>64.244160207182574</c:v>
                </c:pt>
                <c:pt idx="5">
                  <c:v>186.74864185754157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4BC-46B8-A399-AF461D6CC685}"/>
            </c:ext>
          </c:extLst>
        </c:ser>
        <c:ser>
          <c:idx val="2"/>
          <c:order val="2"/>
          <c:tx>
            <c:v>40c</c:v>
          </c:tx>
          <c:spPr>
            <a:ln w="6350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'[1]Master curve '!$A$4:$A$9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</c:numCache>
            </c:numRef>
          </c:xVal>
          <c:yVal>
            <c:numRef>
              <c:f>'[1]Master curve '!$G$4:$G$9</c:f>
              <c:numCache>
                <c:formatCode>General</c:formatCode>
                <c:ptCount val="6"/>
                <c:pt idx="0">
                  <c:v>1</c:v>
                </c:pt>
                <c:pt idx="1">
                  <c:v>2.1883847826285967</c:v>
                </c:pt>
                <c:pt idx="2">
                  <c:v>4.2746626102241567</c:v>
                </c:pt>
                <c:pt idx="3">
                  <c:v>9.4822003739417173</c:v>
                </c:pt>
                <c:pt idx="4">
                  <c:v>48.341302617025882</c:v>
                </c:pt>
                <c:pt idx="5">
                  <c:v>127.5116105175925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4BC-46B8-A399-AF461D6CC685}"/>
            </c:ext>
          </c:extLst>
        </c:ser>
        <c:ser>
          <c:idx val="3"/>
          <c:order val="3"/>
          <c:tx>
            <c:v>50c</c:v>
          </c:tx>
          <c:spPr>
            <a:ln w="6350" cap="rnd">
              <a:solidFill>
                <a:schemeClr val="accent4"/>
              </a:solidFill>
              <a:round/>
            </a:ln>
            <a:effectLst/>
          </c:spPr>
          <c:marker>
            <c:symbol val="star"/>
            <c:size val="8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'[1]Master curve '!$A$4:$A$9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</c:numCache>
            </c:numRef>
          </c:xVal>
          <c:yVal>
            <c:numRef>
              <c:f>'[1]Master curve '!$I$4:$I$9</c:f>
              <c:numCache>
                <c:formatCode>General</c:formatCode>
                <c:ptCount val="6"/>
                <c:pt idx="0">
                  <c:v>1</c:v>
                </c:pt>
                <c:pt idx="1">
                  <c:v>2.2374461699130519</c:v>
                </c:pt>
                <c:pt idx="2">
                  <c:v>3.899343616452029</c:v>
                </c:pt>
                <c:pt idx="3">
                  <c:v>7.894655772937238</c:v>
                </c:pt>
                <c:pt idx="4">
                  <c:v>37.793765455410053</c:v>
                </c:pt>
                <c:pt idx="5">
                  <c:v>93.97729903183459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4BC-46B8-A399-AF461D6CC685}"/>
            </c:ext>
          </c:extLst>
        </c:ser>
        <c:ser>
          <c:idx val="4"/>
          <c:order val="4"/>
          <c:tx>
            <c:v>60c</c:v>
          </c:tx>
          <c:spPr>
            <a:ln w="6350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errBars>
            <c:errDir val="y"/>
            <c:errBarType val="both"/>
            <c:errValType val="fixedVal"/>
            <c:noEndCap val="0"/>
            <c:val val="0.2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'[1]Master curve '!$A$4:$A$9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</c:numCache>
            </c:numRef>
          </c:xVal>
          <c:yVal>
            <c:numRef>
              <c:f>'[1]Master curve '!$K$4:$K$9</c:f>
              <c:numCache>
                <c:formatCode>General</c:formatCode>
                <c:ptCount val="6"/>
                <c:pt idx="0">
                  <c:v>1</c:v>
                </c:pt>
                <c:pt idx="1">
                  <c:v>2.2698662647622796</c:v>
                </c:pt>
                <c:pt idx="2">
                  <c:v>3.4505459739152577</c:v>
                </c:pt>
                <c:pt idx="3">
                  <c:v>6.8941967002095623</c:v>
                </c:pt>
                <c:pt idx="4">
                  <c:v>29.255518640367381</c:v>
                </c:pt>
                <c:pt idx="5">
                  <c:v>70.999574221109228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4BC-46B8-A399-AF461D6CC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069336"/>
        <c:axId val="308069728"/>
      </c:scatterChart>
      <c:valAx>
        <c:axId val="308069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wt % of xylan </a:t>
                </a:r>
              </a:p>
            </c:rich>
          </c:tx>
          <c:layout>
            <c:manualLayout>
              <c:xMode val="edge"/>
              <c:yMode val="edge"/>
              <c:x val="0.44006036745406824"/>
              <c:y val="0.906458151064450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069728"/>
        <c:crossesAt val="1"/>
        <c:crossBetween val="midCat"/>
      </c:valAx>
      <c:valAx>
        <c:axId val="308069728"/>
        <c:scaling>
          <c:logBase val="10"/>
          <c:orientation val="minMax"/>
          <c:min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sz="1400" b="0" i="1" baseline="0">
                    <a:effectLst/>
                  </a:rPr>
                  <a:t>η</a:t>
                </a:r>
                <a:r>
                  <a:rPr lang="en-GB" sz="1200" b="0" i="0" baseline="0">
                    <a:effectLst/>
                  </a:rPr>
                  <a:t>rel</a:t>
                </a:r>
                <a:endParaRPr lang="en-GB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2186438730758097E-2"/>
              <c:y val="0.362302019825878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in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069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743044619422576"/>
          <c:y val="8.7093540390784485E-2"/>
          <c:w val="0.1202101275888051"/>
          <c:h val="0.364080341829232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74752229506234E-2"/>
          <c:y val="9.7560975609756101E-2"/>
          <c:w val="0.87867899690108831"/>
          <c:h val="0.84259087126304333"/>
        </c:manualLayout>
      </c:layout>
      <c:scatterChart>
        <c:scatterStyle val="lineMarker"/>
        <c:varyColors val="0"/>
        <c:ser>
          <c:idx val="1"/>
          <c:order val="0"/>
          <c:tx>
            <c:strRef>
              <c:f>'[1]Master curve '!$T$30</c:f>
              <c:strCache>
                <c:ptCount val="1"/>
                <c:pt idx="0">
                  <c:v>cellulose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xVal>
            <c:numRef>
              <c:f>'[1]Master curve '!$R$31:$R$35</c:f>
              <c:numCache>
                <c:formatCode>General</c:formatCode>
                <c:ptCount val="5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</c:numCache>
            </c:numRef>
          </c:xVal>
          <c:yVal>
            <c:numRef>
              <c:f>'[1]Master curve '!$T$31:$T$35</c:f>
              <c:numCache>
                <c:formatCode>General</c:formatCode>
                <c:ptCount val="5"/>
                <c:pt idx="0">
                  <c:v>105.50380590873543</c:v>
                </c:pt>
                <c:pt idx="1">
                  <c:v>99.288723692372372</c:v>
                </c:pt>
                <c:pt idx="2">
                  <c:v>88.275569445794787</c:v>
                </c:pt>
                <c:pt idx="3">
                  <c:v>83.219058988217313</c:v>
                </c:pt>
                <c:pt idx="4">
                  <c:v>78.071540195545253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47A-4E51-8AD9-05325D113509}"/>
            </c:ext>
          </c:extLst>
        </c:ser>
        <c:ser>
          <c:idx val="2"/>
          <c:order val="1"/>
          <c:tx>
            <c:strRef>
              <c:f>'[1]Master curve '!$U$30</c:f>
              <c:strCache>
                <c:ptCount val="1"/>
                <c:pt idx="0">
                  <c:v>cellulose acetate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xVal>
            <c:numRef>
              <c:f>'[1]Master curve '!$R$31:$R$35</c:f>
              <c:numCache>
                <c:formatCode>General</c:formatCode>
                <c:ptCount val="5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</c:numCache>
            </c:numRef>
          </c:xVal>
          <c:yVal>
            <c:numRef>
              <c:f>'[1]Master curve '!$U$31:$U$35</c:f>
              <c:numCache>
                <c:formatCode>General</c:formatCode>
                <c:ptCount val="5"/>
                <c:pt idx="0">
                  <c:v>50.4</c:v>
                </c:pt>
                <c:pt idx="1">
                  <c:v>47.3</c:v>
                </c:pt>
                <c:pt idx="2">
                  <c:v>45.5</c:v>
                </c:pt>
                <c:pt idx="3">
                  <c:v>43.2</c:v>
                </c:pt>
                <c:pt idx="4">
                  <c:v>40.1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47A-4E51-8AD9-05325D113509}"/>
            </c:ext>
          </c:extLst>
        </c:ser>
        <c:ser>
          <c:idx val="0"/>
          <c:order val="2"/>
          <c:tx>
            <c:strRef>
              <c:f>'[1]Master curve '!$S$30</c:f>
              <c:strCache>
                <c:ptCount val="1"/>
                <c:pt idx="0">
                  <c:v>xylan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xVal>
            <c:numRef>
              <c:f>'[1]Master curve '!$R$31:$R$35</c:f>
              <c:numCache>
                <c:formatCode>General</c:formatCode>
                <c:ptCount val="5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</c:numCache>
            </c:numRef>
          </c:xVal>
          <c:yVal>
            <c:numRef>
              <c:f>'[1]Master curve '!$S$31:$S$35</c:f>
              <c:numCache>
                <c:formatCode>General</c:formatCode>
                <c:ptCount val="5"/>
                <c:pt idx="0">
                  <c:v>38.299999999999997</c:v>
                </c:pt>
                <c:pt idx="1">
                  <c:v>33.6</c:v>
                </c:pt>
                <c:pt idx="2">
                  <c:v>30.3</c:v>
                </c:pt>
                <c:pt idx="3">
                  <c:v>26.1</c:v>
                </c:pt>
                <c:pt idx="4">
                  <c:v>23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47A-4E51-8AD9-05325D113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070512"/>
        <c:axId val="308070904"/>
      </c:scatterChart>
      <c:valAx>
        <c:axId val="308070512"/>
        <c:scaling>
          <c:orientation val="minMax"/>
          <c:min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</a:t>
                </a:r>
                <a:r>
                  <a:rPr lang="en-GB" baseline="0"/>
                  <a:t> / C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070904"/>
        <c:crosses val="autoZero"/>
        <c:crossBetween val="midCat"/>
      </c:valAx>
      <c:valAx>
        <c:axId val="3080709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[eta]</a:t>
                </a:r>
                <a:r>
                  <a:rPr lang="en-GB" baseline="0"/>
                  <a:t> mL/g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0705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3127333382392622"/>
          <c:y val="0.1802839766980347"/>
          <c:w val="0.16052313554263659"/>
          <c:h val="0.164635298636450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96673074728537"/>
          <c:y val="6.0185191443344263E-2"/>
          <c:w val="0.80549741482983528"/>
          <c:h val="0.7776889286656713"/>
        </c:manualLayout>
      </c:layout>
      <c:scatterChart>
        <c:scatterStyle val="smoothMarker"/>
        <c:varyColors val="0"/>
        <c:ser>
          <c:idx val="1"/>
          <c:order val="0"/>
          <c:tx>
            <c:v>[OAc]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9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2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 the correction term'!$A$8:$A$13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</c:numCache>
            </c:numRef>
          </c:xVal>
          <c:yVal>
            <c:numRef>
              <c:f>' the correction term'!$C$15:$C$20</c:f>
              <c:numCache>
                <c:formatCode>General</c:formatCode>
                <c:ptCount val="6"/>
                <c:pt idx="0">
                  <c:v>0.74793884813243094</c:v>
                </c:pt>
                <c:pt idx="1">
                  <c:v>0.35891717895898262</c:v>
                </c:pt>
                <c:pt idx="2">
                  <c:v>0.29077442285378446</c:v>
                </c:pt>
                <c:pt idx="3">
                  <c:v>0.10909471989985751</c:v>
                </c:pt>
                <c:pt idx="4">
                  <c:v>5.9110216237620784E-2</c:v>
                </c:pt>
                <c:pt idx="5">
                  <c:v>3.6623245314744722E-2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F641-4661-811F-25CD1B9BE487}"/>
            </c:ext>
          </c:extLst>
        </c:ser>
        <c:ser>
          <c:idx val="0"/>
          <c:order val="1"/>
          <c:tx>
            <c:v>[C2mim]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0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2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 the correction term'!$A$15:$A$20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</c:numCache>
            </c:numRef>
          </c:xVal>
          <c:yVal>
            <c:numRef>
              <c:f>' the correction term'!$B$15:$B$20</c:f>
              <c:numCache>
                <c:formatCode>General</c:formatCode>
                <c:ptCount val="6"/>
                <c:pt idx="0">
                  <c:v>0.53149818546128524</c:v>
                </c:pt>
                <c:pt idx="1">
                  <c:v>0.25481405755238556</c:v>
                </c:pt>
                <c:pt idx="2">
                  <c:v>0.21197280119061712</c:v>
                </c:pt>
                <c:pt idx="3">
                  <c:v>7.7170670379173842E-2</c:v>
                </c:pt>
                <c:pt idx="4">
                  <c:v>3.95409432106592E-2</c:v>
                </c:pt>
                <c:pt idx="5">
                  <c:v>2.3904908163669355E-2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F641-4661-811F-25CD1B9BE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9873152"/>
        <c:axId val="309873544"/>
      </c:scatterChart>
      <c:valAx>
        <c:axId val="309873152"/>
        <c:scaling>
          <c:orientation val="minMax"/>
          <c:max val="16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 sz="14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wt % of xylan </a:t>
                </a:r>
                <a:endParaRPr lang="en-GB" sz="14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09873544"/>
        <c:crossesAt val="1.0000000000000002E-2"/>
        <c:crossBetween val="midCat"/>
      </c:valAx>
      <c:valAx>
        <c:axId val="309873544"/>
        <c:scaling>
          <c:logBase val="10"/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 sz="14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correction term,  ƒ </a:t>
                </a:r>
                <a:endParaRPr lang="en-GB" sz="8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1658773802287281E-2"/>
              <c:y val="0.242933549615310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in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09873152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1511495009612092"/>
          <c:y val="0.21062904779043873"/>
          <c:w val="0.21692927522300282"/>
          <c:h val="0.117330719926103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image" Target="../media/image1.emf"/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6.xml"/><Relationship Id="rId3" Type="http://schemas.openxmlformats.org/officeDocument/2006/relationships/chart" Target="../charts/chart41.xml"/><Relationship Id="rId7" Type="http://schemas.openxmlformats.org/officeDocument/2006/relationships/chart" Target="../charts/chart45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449037</xdr:colOff>
      <xdr:row>60</xdr:row>
      <xdr:rowOff>163286</xdr:rowOff>
    </xdr:from>
    <xdr:to>
      <xdr:col>10</xdr:col>
      <xdr:colOff>408216</xdr:colOff>
      <xdr:row>84</xdr:row>
      <xdr:rowOff>81643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202749</xdr:colOff>
      <xdr:row>61</xdr:row>
      <xdr:rowOff>13608</xdr:rowOff>
    </xdr:from>
    <xdr:to>
      <xdr:col>21</xdr:col>
      <xdr:colOff>204107</xdr:colOff>
      <xdr:row>84</xdr:row>
      <xdr:rowOff>68036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581025</xdr:colOff>
      <xdr:row>1</xdr:row>
      <xdr:rowOff>28575</xdr:rowOff>
    </xdr:from>
    <xdr:to>
      <xdr:col>16</xdr:col>
      <xdr:colOff>100432</xdr:colOff>
      <xdr:row>13</xdr:row>
      <xdr:rowOff>165275</xdr:rowOff>
    </xdr:to>
    <xdr:pic>
      <xdr:nvPicPr>
        <xdr:cNvPr id="14" name="Picture 1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90500"/>
          <a:ext cx="9515894" cy="226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31296</xdr:colOff>
      <xdr:row>28</xdr:row>
      <xdr:rowOff>110217</xdr:rowOff>
    </xdr:from>
    <xdr:to>
      <xdr:col>10</xdr:col>
      <xdr:colOff>559594</xdr:colOff>
      <xdr:row>56</xdr:row>
      <xdr:rowOff>23812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511969</xdr:colOff>
      <xdr:row>29</xdr:row>
      <xdr:rowOff>23814</xdr:rowOff>
    </xdr:from>
    <xdr:to>
      <xdr:col>22</xdr:col>
      <xdr:colOff>0</xdr:colOff>
      <xdr:row>56</xdr:row>
      <xdr:rowOff>11906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571502</xdr:colOff>
      <xdr:row>45</xdr:row>
      <xdr:rowOff>119061</xdr:rowOff>
    </xdr:from>
    <xdr:to>
      <xdr:col>20</xdr:col>
      <xdr:colOff>500062</xdr:colOff>
      <xdr:row>70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59530</xdr:colOff>
      <xdr:row>45</xdr:row>
      <xdr:rowOff>47625</xdr:rowOff>
    </xdr:from>
    <xdr:to>
      <xdr:col>12</xdr:col>
      <xdr:colOff>11907</xdr:colOff>
      <xdr:row>70</xdr:row>
      <xdr:rowOff>35719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28575</xdr:colOff>
      <xdr:row>0</xdr:row>
      <xdr:rowOff>123825</xdr:rowOff>
    </xdr:from>
    <xdr:to>
      <xdr:col>19</xdr:col>
      <xdr:colOff>181394</xdr:colOff>
      <xdr:row>14</xdr:row>
      <xdr:rowOff>124453</xdr:rowOff>
    </xdr:to>
    <xdr:pic>
      <xdr:nvPicPr>
        <xdr:cNvPr id="6" name="Picture 1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123825"/>
          <a:ext cx="9515894" cy="226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431348</xdr:colOff>
      <xdr:row>6</xdr:row>
      <xdr:rowOff>176893</xdr:rowOff>
    </xdr:from>
    <xdr:to>
      <xdr:col>23</xdr:col>
      <xdr:colOff>0</xdr:colOff>
      <xdr:row>28</xdr:row>
      <xdr:rowOff>108858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12</xdr:row>
      <xdr:rowOff>47625</xdr:rowOff>
    </xdr:from>
    <xdr:to>
      <xdr:col>16</xdr:col>
      <xdr:colOff>323850</xdr:colOff>
      <xdr:row>32</xdr:row>
      <xdr:rowOff>19051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</xdr:row>
      <xdr:rowOff>133351</xdr:rowOff>
    </xdr:from>
    <xdr:to>
      <xdr:col>7</xdr:col>
      <xdr:colOff>590550</xdr:colOff>
      <xdr:row>30</xdr:row>
      <xdr:rowOff>89808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15</xdr:row>
      <xdr:rowOff>95250</xdr:rowOff>
    </xdr:from>
    <xdr:to>
      <xdr:col>11</xdr:col>
      <xdr:colOff>438150</xdr:colOff>
      <xdr:row>45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498475</xdr:colOff>
      <xdr:row>15</xdr:row>
      <xdr:rowOff>85724</xdr:rowOff>
    </xdr:from>
    <xdr:to>
      <xdr:col>25</xdr:col>
      <xdr:colOff>450850</xdr:colOff>
      <xdr:row>45</xdr:row>
      <xdr:rowOff>19049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7</xdr:col>
      <xdr:colOff>19050</xdr:colOff>
      <xdr:row>0</xdr:row>
      <xdr:rowOff>138112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4286250" y="138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574378</xdr:colOff>
      <xdr:row>2</xdr:row>
      <xdr:rowOff>90449</xdr:rowOff>
    </xdr:from>
    <xdr:to>
      <xdr:col>12</xdr:col>
      <xdr:colOff>522338</xdr:colOff>
      <xdr:row>18</xdr:row>
      <xdr:rowOff>53770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342900</xdr:colOff>
      <xdr:row>1</xdr:row>
      <xdr:rowOff>66675</xdr:rowOff>
    </xdr:from>
    <xdr:to>
      <xdr:col>25</xdr:col>
      <xdr:colOff>105194</xdr:colOff>
      <xdr:row>15</xdr:row>
      <xdr:rowOff>67303</xdr:rowOff>
    </xdr:to>
    <xdr:pic>
      <xdr:nvPicPr>
        <xdr:cNvPr id="5" name="Picture 11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228600"/>
          <a:ext cx="9515894" cy="226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43295</xdr:colOff>
      <xdr:row>14</xdr:row>
      <xdr:rowOff>112569</xdr:rowOff>
    </xdr:from>
    <xdr:to>
      <xdr:col>18</xdr:col>
      <xdr:colOff>9525</xdr:colOff>
      <xdr:row>36</xdr:row>
      <xdr:rowOff>76201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352426</xdr:colOff>
      <xdr:row>15</xdr:row>
      <xdr:rowOff>133350</xdr:rowOff>
    </xdr:from>
    <xdr:to>
      <xdr:col>21</xdr:col>
      <xdr:colOff>171450</xdr:colOff>
      <xdr:row>49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438150</xdr:colOff>
      <xdr:row>0</xdr:row>
      <xdr:rowOff>38100</xdr:rowOff>
    </xdr:from>
    <xdr:to>
      <xdr:col>25</xdr:col>
      <xdr:colOff>200444</xdr:colOff>
      <xdr:row>14</xdr:row>
      <xdr:rowOff>38728</xdr:rowOff>
    </xdr:to>
    <xdr:pic>
      <xdr:nvPicPr>
        <xdr:cNvPr id="7" name="Picture 11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38100"/>
          <a:ext cx="9515894" cy="226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280987</xdr:colOff>
      <xdr:row>57</xdr:row>
      <xdr:rowOff>71437</xdr:rowOff>
    </xdr:from>
    <xdr:to>
      <xdr:col>17</xdr:col>
      <xdr:colOff>585787</xdr:colOff>
      <xdr:row>74</xdr:row>
      <xdr:rowOff>61912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441551</xdr:colOff>
      <xdr:row>23</xdr:row>
      <xdr:rowOff>119062</xdr:rowOff>
    </xdr:from>
    <xdr:to>
      <xdr:col>18</xdr:col>
      <xdr:colOff>154781</xdr:colOff>
      <xdr:row>45</xdr:row>
      <xdr:rowOff>1932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392906</xdr:colOff>
      <xdr:row>23</xdr:row>
      <xdr:rowOff>107156</xdr:rowOff>
    </xdr:from>
    <xdr:to>
      <xdr:col>9</xdr:col>
      <xdr:colOff>357187</xdr:colOff>
      <xdr:row>45</xdr:row>
      <xdr:rowOff>-1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59530</xdr:colOff>
      <xdr:row>49</xdr:row>
      <xdr:rowOff>119062</xdr:rowOff>
    </xdr:from>
    <xdr:to>
      <xdr:col>15</xdr:col>
      <xdr:colOff>285749</xdr:colOff>
      <xdr:row>69</xdr:row>
      <xdr:rowOff>151209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11</xdr:row>
      <xdr:rowOff>9526</xdr:rowOff>
    </xdr:from>
    <xdr:to>
      <xdr:col>19</xdr:col>
      <xdr:colOff>66675</xdr:colOff>
      <xdr:row>32</xdr:row>
      <xdr:rowOff>95251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238124</xdr:colOff>
      <xdr:row>33</xdr:row>
      <xdr:rowOff>152400</xdr:rowOff>
    </xdr:from>
    <xdr:to>
      <xdr:col>16</xdr:col>
      <xdr:colOff>76200</xdr:colOff>
      <xdr:row>55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133349</xdr:colOff>
      <xdr:row>23</xdr:row>
      <xdr:rowOff>66676</xdr:rowOff>
    </xdr:from>
    <xdr:to>
      <xdr:col>23</xdr:col>
      <xdr:colOff>542924</xdr:colOff>
      <xdr:row>45</xdr:row>
      <xdr:rowOff>47626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457200</xdr:colOff>
      <xdr:row>2</xdr:row>
      <xdr:rowOff>95250</xdr:rowOff>
    </xdr:from>
    <xdr:to>
      <xdr:col>24</xdr:col>
      <xdr:colOff>19050</xdr:colOff>
      <xdr:row>21</xdr:row>
      <xdr:rowOff>109537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342900</xdr:colOff>
      <xdr:row>25</xdr:row>
      <xdr:rowOff>57151</xdr:rowOff>
    </xdr:from>
    <xdr:to>
      <xdr:col>26</xdr:col>
      <xdr:colOff>600075</xdr:colOff>
      <xdr:row>45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514350</xdr:colOff>
      <xdr:row>0</xdr:row>
      <xdr:rowOff>0</xdr:rowOff>
    </xdr:from>
    <xdr:to>
      <xdr:col>26</xdr:col>
      <xdr:colOff>385762</xdr:colOff>
      <xdr:row>22</xdr:row>
      <xdr:rowOff>114299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523875</xdr:colOff>
      <xdr:row>14</xdr:row>
      <xdr:rowOff>90487</xdr:rowOff>
    </xdr:from>
    <xdr:to>
      <xdr:col>16</xdr:col>
      <xdr:colOff>219075</xdr:colOff>
      <xdr:row>30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114300</xdr:colOff>
      <xdr:row>34</xdr:row>
      <xdr:rowOff>1</xdr:rowOff>
    </xdr:from>
    <xdr:to>
      <xdr:col>30</xdr:col>
      <xdr:colOff>171451</xdr:colOff>
      <xdr:row>55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211748</xdr:colOff>
      <xdr:row>52</xdr:row>
      <xdr:rowOff>127000</xdr:rowOff>
    </xdr:from>
    <xdr:to>
      <xdr:col>11</xdr:col>
      <xdr:colOff>0</xdr:colOff>
      <xdr:row>78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228599</xdr:colOff>
      <xdr:row>0</xdr:row>
      <xdr:rowOff>0</xdr:rowOff>
    </xdr:from>
    <xdr:to>
      <xdr:col>27</xdr:col>
      <xdr:colOff>371474</xdr:colOff>
      <xdr:row>17</xdr:row>
      <xdr:rowOff>138113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109537</xdr:colOff>
      <xdr:row>8</xdr:row>
      <xdr:rowOff>109537</xdr:rowOff>
    </xdr:from>
    <xdr:to>
      <xdr:col>33</xdr:col>
      <xdr:colOff>447675</xdr:colOff>
      <xdr:row>31</xdr:row>
      <xdr:rowOff>180975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554404</xdr:colOff>
      <xdr:row>54</xdr:row>
      <xdr:rowOff>69606</xdr:rowOff>
    </xdr:from>
    <xdr:to>
      <xdr:col>20</xdr:col>
      <xdr:colOff>407866</xdr:colOff>
      <xdr:row>74</xdr:row>
      <xdr:rowOff>54952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171450</xdr:colOff>
      <xdr:row>0</xdr:row>
      <xdr:rowOff>1</xdr:rowOff>
    </xdr:from>
    <xdr:to>
      <xdr:col>22</xdr:col>
      <xdr:colOff>295275</xdr:colOff>
      <xdr:row>20</xdr:row>
      <xdr:rowOff>19051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342900</xdr:colOff>
      <xdr:row>0</xdr:row>
      <xdr:rowOff>0</xdr:rowOff>
    </xdr:from>
    <xdr:to>
      <xdr:col>14</xdr:col>
      <xdr:colOff>38100</xdr:colOff>
      <xdr:row>19</xdr:row>
      <xdr:rowOff>71437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123825</xdr:colOff>
      <xdr:row>26</xdr:row>
      <xdr:rowOff>123825</xdr:rowOff>
    </xdr:from>
    <xdr:to>
      <xdr:col>16</xdr:col>
      <xdr:colOff>428625</xdr:colOff>
      <xdr:row>47</xdr:row>
      <xdr:rowOff>157162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323850</xdr:colOff>
      <xdr:row>18</xdr:row>
      <xdr:rowOff>0</xdr:rowOff>
    </xdr:from>
    <xdr:to>
      <xdr:col>19</xdr:col>
      <xdr:colOff>200025</xdr:colOff>
      <xdr:row>38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57150</xdr:colOff>
      <xdr:row>29</xdr:row>
      <xdr:rowOff>114300</xdr:rowOff>
    </xdr:from>
    <xdr:to>
      <xdr:col>10</xdr:col>
      <xdr:colOff>485775</xdr:colOff>
      <xdr:row>52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504825</xdr:colOff>
      <xdr:row>10</xdr:row>
      <xdr:rowOff>104775</xdr:rowOff>
    </xdr:from>
    <xdr:to>
      <xdr:col>22</xdr:col>
      <xdr:colOff>409575</xdr:colOff>
      <xdr:row>31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342900</xdr:colOff>
      <xdr:row>21</xdr:row>
      <xdr:rowOff>9525</xdr:rowOff>
    </xdr:from>
    <xdr:to>
      <xdr:col>13</xdr:col>
      <xdr:colOff>85725</xdr:colOff>
      <xdr:row>43</xdr:row>
      <xdr:rowOff>9526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48</xdr:row>
      <xdr:rowOff>0</xdr:rowOff>
    </xdr:from>
    <xdr:to>
      <xdr:col>22</xdr:col>
      <xdr:colOff>352425</xdr:colOff>
      <xdr:row>70</xdr:row>
      <xdr:rowOff>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4FC7CF1C-B38A-446D-BF05-3FC4FB496D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346074</xdr:colOff>
      <xdr:row>5</xdr:row>
      <xdr:rowOff>16933</xdr:rowOff>
    </xdr:from>
    <xdr:to>
      <xdr:col>23</xdr:col>
      <xdr:colOff>219076</xdr:colOff>
      <xdr:row>21</xdr:row>
      <xdr:rowOff>91016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xmlns="" id="{2A28FEF0-6F44-4AC4-80CA-A9C252B43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422274</xdr:colOff>
      <xdr:row>40</xdr:row>
      <xdr:rowOff>2645</xdr:rowOff>
    </xdr:from>
    <xdr:to>
      <xdr:col>11</xdr:col>
      <xdr:colOff>403225</xdr:colOff>
      <xdr:row>65</xdr:row>
      <xdr:rowOff>102659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xmlns="" id="{C9271369-DE9A-4FBE-934C-D797FF195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876906</xdr:colOff>
      <xdr:row>11</xdr:row>
      <xdr:rowOff>28122</xdr:rowOff>
    </xdr:from>
    <xdr:to>
      <xdr:col>31</xdr:col>
      <xdr:colOff>934056</xdr:colOff>
      <xdr:row>34</xdr:row>
      <xdr:rowOff>47172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xmlns="" id="{1965C301-9E04-47F1-82D0-6DE37D3DC1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612018</xdr:colOff>
      <xdr:row>16</xdr:row>
      <xdr:rowOff>38402</xdr:rowOff>
    </xdr:from>
    <xdr:to>
      <xdr:col>45</xdr:col>
      <xdr:colOff>528864</xdr:colOff>
      <xdr:row>38</xdr:row>
      <xdr:rowOff>303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xmlns="" id="{B02CFA24-0898-4858-8EF3-E6EEB75CB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163285</xdr:colOff>
      <xdr:row>48</xdr:row>
      <xdr:rowOff>163286</xdr:rowOff>
    </xdr:from>
    <xdr:to>
      <xdr:col>23</xdr:col>
      <xdr:colOff>236764</xdr:colOff>
      <xdr:row>70</xdr:row>
      <xdr:rowOff>36287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xmlns="" id="{DB7DD5FB-AB3D-4E18-B582-0AA4015239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143932</xdr:colOff>
      <xdr:row>18</xdr:row>
      <xdr:rowOff>125940</xdr:rowOff>
    </xdr:from>
    <xdr:to>
      <xdr:col>9</xdr:col>
      <xdr:colOff>387348</xdr:colOff>
      <xdr:row>33</xdr:row>
      <xdr:rowOff>11640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xmlns="" id="{DBC3C895-EAE7-42B5-8461-ED49618DE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321278</xdr:colOff>
      <xdr:row>29</xdr:row>
      <xdr:rowOff>69548</xdr:rowOff>
    </xdr:from>
    <xdr:to>
      <xdr:col>16</xdr:col>
      <xdr:colOff>119440</xdr:colOff>
      <xdr:row>44</xdr:row>
      <xdr:rowOff>155272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xmlns="" id="{36DC6E6D-12A0-4202-8AC8-1DEC08AD86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496811</xdr:colOff>
      <xdr:row>35</xdr:row>
      <xdr:rowOff>95552</xdr:rowOff>
    </xdr:from>
    <xdr:to>
      <xdr:col>31</xdr:col>
      <xdr:colOff>993623</xdr:colOff>
      <xdr:row>56</xdr:row>
      <xdr:rowOff>302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xmlns="" id="{2698FD91-D733-4C91-AA8D-1E1A79FFD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0.37796</cdr:x>
      <cdr:y>0.0149</cdr:y>
    </cdr:from>
    <cdr:to>
      <cdr:x>0.63639</cdr:x>
      <cdr:y>0.0949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63256" y="60337"/>
          <a:ext cx="1957749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400"/>
            <a:t>xylan</a:t>
          </a:r>
          <a:r>
            <a:rPr lang="en-GB" sz="1400" baseline="0"/>
            <a:t>  viscosity data</a:t>
          </a:r>
          <a:endParaRPr lang="en-GB" sz="14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0.42175</cdr:x>
      <cdr:y>0.5553</cdr:y>
    </cdr:from>
    <cdr:to>
      <cdr:x>0.95789</cdr:x>
      <cdr:y>0.63418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08175" y="2279650"/>
          <a:ext cx="2425701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400" baseline="0"/>
            <a:t>Line is E = E(0) + 4.11*c^0.737</a:t>
          </a:r>
          <a:endParaRPr lang="en-GB" sz="14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0.47871</cdr:x>
      <cdr:y>0.00081</cdr:y>
    </cdr:from>
    <cdr:to>
      <cdr:x>0.80114</cdr:x>
      <cdr:y>0.08374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27350" y="3175"/>
          <a:ext cx="19716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400" baseline="0"/>
            <a:t>EMIMAc</a:t>
          </a:r>
          <a:endParaRPr lang="en-GB" sz="14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0.47871</cdr:x>
      <cdr:y>0.00081</cdr:y>
    </cdr:from>
    <cdr:to>
      <cdr:x>0.80114</cdr:x>
      <cdr:y>0.08374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27350" y="3175"/>
          <a:ext cx="19716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400" baseline="0"/>
            <a:t>EMIMAc</a:t>
          </a:r>
          <a:endParaRPr lang="en-GB" sz="1400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0</xdr:row>
      <xdr:rowOff>104774</xdr:rowOff>
    </xdr:from>
    <xdr:to>
      <xdr:col>16</xdr:col>
      <xdr:colOff>514350</xdr:colOff>
      <xdr:row>26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fa\Dropbox\Wafa%20Ezzawam\Viscosity%20data%20of%20xylan\Xylan%20viscosity%202017\New%20measurement%20of%20xylan%20viscosity\wolf%20approach%20Intrinsic%20viscosity-data-conc%20AT%20al%20temperat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c"/>
      <sheetName val="30c"/>
      <sheetName val="40c"/>
      <sheetName val="50c"/>
      <sheetName val="60c"/>
      <sheetName val="Master curve "/>
    </sheetNames>
    <sheetDataSet>
      <sheetData sheetId="0">
        <row r="4">
          <cell r="D4">
            <v>-1.8062438634290285</v>
          </cell>
          <cell r="F4">
            <v>1</v>
          </cell>
          <cell r="K4">
            <v>0</v>
          </cell>
        </row>
        <row r="5">
          <cell r="D5">
            <v>-1.0287129650000244</v>
          </cell>
          <cell r="F5">
            <v>2.1760926330628849</v>
          </cell>
          <cell r="K5">
            <v>0.46343000000000001</v>
          </cell>
        </row>
        <row r="6">
          <cell r="D6">
            <v>-0.1321056154220048</v>
          </cell>
          <cell r="F6">
            <v>5.3341964134827426</v>
          </cell>
          <cell r="K6">
            <v>1.39029</v>
          </cell>
        </row>
        <row r="7">
          <cell r="D7">
            <v>0.82653005617720665</v>
          </cell>
          <cell r="F7">
            <v>13.912308050625274</v>
          </cell>
          <cell r="K7">
            <v>2.3171500000000003</v>
          </cell>
        </row>
        <row r="8">
          <cell r="D8">
            <v>2.6815906700942391</v>
          </cell>
          <cell r="F8">
            <v>88.928665180652956</v>
          </cell>
          <cell r="K8">
            <v>4.6343000000000005</v>
          </cell>
        </row>
        <row r="9">
          <cell r="D9">
            <v>3.9297138078253204</v>
          </cell>
          <cell r="F9">
            <v>309.8095244119408</v>
          </cell>
          <cell r="K9">
            <v>6.9514500000000004</v>
          </cell>
        </row>
        <row r="18">
          <cell r="C18">
            <v>38.299999999999997</v>
          </cell>
        </row>
      </sheetData>
      <sheetData sheetId="1">
        <row r="5">
          <cell r="D5">
            <v>-2.4564124917489281</v>
          </cell>
          <cell r="F5">
            <v>1</v>
          </cell>
          <cell r="K5">
            <v>0</v>
          </cell>
        </row>
        <row r="6">
          <cell r="D6">
            <v>-1.646978734741281</v>
          </cell>
          <cell r="F6">
            <v>2.2466354848381864</v>
          </cell>
          <cell r="K6">
            <v>0.40656000000000009</v>
          </cell>
        </row>
        <row r="7">
          <cell r="D7">
            <v>-0.88065390193263604</v>
          </cell>
          <cell r="F7">
            <v>4.8344075598041334</v>
          </cell>
          <cell r="K7">
            <v>1.2196800000000003</v>
          </cell>
        </row>
        <row r="8">
          <cell r="D8">
            <v>-2.2527457484465965E-2</v>
          </cell>
          <cell r="F8">
            <v>11.403097559801452</v>
          </cell>
          <cell r="K8">
            <v>2.0328000000000004</v>
          </cell>
        </row>
        <row r="9">
          <cell r="D9">
            <v>1.7062783361784961</v>
          </cell>
          <cell r="F9">
            <v>64.244160207182574</v>
          </cell>
          <cell r="K9">
            <v>4.0656000000000008</v>
          </cell>
        </row>
        <row r="10">
          <cell r="D10">
            <v>2.7733510597210427</v>
          </cell>
          <cell r="F10">
            <v>186.74864185754157</v>
          </cell>
          <cell r="K10">
            <v>6.0984000000000007</v>
          </cell>
        </row>
        <row r="19">
          <cell r="C19">
            <v>33.6</v>
          </cell>
        </row>
      </sheetData>
      <sheetData sheetId="2">
        <row r="5">
          <cell r="D5">
            <v>-2.9724064482504944</v>
          </cell>
          <cell r="F5">
            <v>1</v>
          </cell>
          <cell r="K5">
            <v>0</v>
          </cell>
        </row>
        <row r="6">
          <cell r="D6">
            <v>-2.1892427187188477</v>
          </cell>
          <cell r="F6">
            <v>2.1883847826285967</v>
          </cell>
          <cell r="K6">
            <v>0.36663000000000007</v>
          </cell>
        </row>
        <row r="7">
          <cell r="D7">
            <v>-1.5197012705612354</v>
          </cell>
          <cell r="F7">
            <v>4.2746626102241567</v>
          </cell>
          <cell r="K7">
            <v>1.0998900000000003</v>
          </cell>
        </row>
        <row r="8">
          <cell r="D8">
            <v>-0.7229900519603385</v>
          </cell>
          <cell r="F8">
            <v>9.4822003739417173</v>
          </cell>
          <cell r="K8">
            <v>1.8331500000000005</v>
          </cell>
        </row>
        <row r="9">
          <cell r="D9">
            <v>0.9058798736420417</v>
          </cell>
          <cell r="F9">
            <v>48.341302617025882</v>
          </cell>
          <cell r="K9">
            <v>3.666300000000001</v>
          </cell>
        </row>
        <row r="10">
          <cell r="D10">
            <v>1.8758009750850924</v>
          </cell>
          <cell r="F10">
            <v>127.5116105175925</v>
          </cell>
          <cell r="K10">
            <v>5.4994500000000004</v>
          </cell>
        </row>
        <row r="19">
          <cell r="C19">
            <v>30.3</v>
          </cell>
        </row>
      </sheetData>
      <sheetData sheetId="3">
        <row r="5">
          <cell r="D5">
            <v>-3.4170219320091269</v>
          </cell>
          <cell r="F5">
            <v>1</v>
          </cell>
          <cell r="K5">
            <v>0</v>
          </cell>
        </row>
        <row r="6">
          <cell r="D6">
            <v>-2.6116868192710734</v>
          </cell>
          <cell r="F6">
            <v>2.2374461699130519</v>
          </cell>
          <cell r="K6">
            <v>0.31581000000000004</v>
          </cell>
        </row>
        <row r="7">
          <cell r="D7">
            <v>-2.0562136965119837</v>
          </cell>
          <cell r="F7">
            <v>3.899343616452029</v>
          </cell>
          <cell r="K7">
            <v>0.94743000000000022</v>
          </cell>
        </row>
        <row r="8">
          <cell r="D8">
            <v>-1.3508358858933189</v>
          </cell>
          <cell r="F8">
            <v>7.894655772937238</v>
          </cell>
          <cell r="K8">
            <v>1.5790500000000005</v>
          </cell>
        </row>
        <row r="9">
          <cell r="D9">
            <v>0.21512222197107334</v>
          </cell>
          <cell r="F9">
            <v>37.793765455410053</v>
          </cell>
          <cell r="K9">
            <v>3.158100000000001</v>
          </cell>
        </row>
        <row r="10">
          <cell r="D10">
            <v>1.1260313214338038</v>
          </cell>
          <cell r="F10">
            <v>93.97729903183459</v>
          </cell>
          <cell r="K10">
            <v>4.7371500000000006</v>
          </cell>
        </row>
        <row r="19">
          <cell r="C19">
            <v>26.1</v>
          </cell>
        </row>
      </sheetData>
      <sheetData sheetId="4">
        <row r="5">
          <cell r="D5">
            <v>-3.7813456817865299</v>
          </cell>
          <cell r="F5">
            <v>1</v>
          </cell>
          <cell r="K5">
            <v>0</v>
          </cell>
        </row>
        <row r="6">
          <cell r="D6">
            <v>-2.9616247662303672</v>
          </cell>
          <cell r="F6">
            <v>2.2698662647622796</v>
          </cell>
          <cell r="K6">
            <v>0.27830000000000005</v>
          </cell>
        </row>
        <row r="7">
          <cell r="D7">
            <v>-2.542813209955225</v>
          </cell>
          <cell r="F7">
            <v>3.4505459739152577</v>
          </cell>
          <cell r="K7">
            <v>0.83490000000000009</v>
          </cell>
        </row>
        <row r="8">
          <cell r="D8">
            <v>-1.8506656820116296</v>
          </cell>
          <cell r="F8">
            <v>6.8941967002095623</v>
          </cell>
          <cell r="K8">
            <v>1.3915000000000002</v>
          </cell>
        </row>
        <row r="9">
          <cell r="D9">
            <v>-0.40527745443933544</v>
          </cell>
          <cell r="F9">
            <v>29.255518640367381</v>
          </cell>
          <cell r="K9">
            <v>2.7830000000000004</v>
          </cell>
        </row>
        <row r="10">
          <cell r="D10">
            <v>0.48132819835101853</v>
          </cell>
          <cell r="F10">
            <v>70.999574221109228</v>
          </cell>
          <cell r="K10">
            <v>4.1745000000000001</v>
          </cell>
        </row>
        <row r="19">
          <cell r="C19">
            <v>23</v>
          </cell>
        </row>
      </sheetData>
      <sheetData sheetId="5">
        <row r="4">
          <cell r="A4">
            <v>0</v>
          </cell>
          <cell r="B4">
            <v>0</v>
          </cell>
          <cell r="C4">
            <v>1</v>
          </cell>
          <cell r="D4">
            <v>0</v>
          </cell>
          <cell r="E4">
            <v>1</v>
          </cell>
          <cell r="F4">
            <v>0</v>
          </cell>
          <cell r="G4">
            <v>1</v>
          </cell>
          <cell r="H4">
            <v>0</v>
          </cell>
          <cell r="I4">
            <v>1</v>
          </cell>
          <cell r="J4">
            <v>0</v>
          </cell>
          <cell r="K4">
            <v>1</v>
          </cell>
          <cell r="Z4">
            <v>3.411222923418046</v>
          </cell>
          <cell r="AA4">
            <v>3.2986970146792021</v>
          </cell>
          <cell r="AB4">
            <v>3.1933578157432541</v>
          </cell>
          <cell r="AC4">
            <v>3.0945381401825776</v>
          </cell>
          <cell r="AD4">
            <v>3.0016509079993998</v>
          </cell>
        </row>
        <row r="5">
          <cell r="A5">
            <v>1</v>
          </cell>
          <cell r="B5">
            <v>0.46343000000000001</v>
          </cell>
          <cell r="C5">
            <v>2.1760926330628849</v>
          </cell>
          <cell r="D5">
            <v>0.40656000000000009</v>
          </cell>
          <cell r="E5">
            <v>2.2466354848381864</v>
          </cell>
          <cell r="F5">
            <v>0.36663000000000007</v>
          </cell>
          <cell r="G5">
            <v>2.1883847826285967</v>
          </cell>
          <cell r="H5">
            <v>0.31581000000000004</v>
          </cell>
          <cell r="I5">
            <v>2.2374461699130519</v>
          </cell>
          <cell r="J5">
            <v>0.27830000000000005</v>
          </cell>
          <cell r="K5">
            <v>2.2698662647622796</v>
          </cell>
          <cell r="Y5">
            <v>0</v>
          </cell>
          <cell r="Z5">
            <v>-1.8062438634290285</v>
          </cell>
          <cell r="AA5">
            <v>-2.4564124917489281</v>
          </cell>
          <cell r="AB5">
            <v>-2.9724064482504944</v>
          </cell>
          <cell r="AC5">
            <v>-3.4170219320091269</v>
          </cell>
          <cell r="AD5">
            <v>-3.7813456817865299</v>
          </cell>
          <cell r="AF5">
            <v>40.006968000000001</v>
          </cell>
          <cell r="AJ5">
            <v>40.006968000000001</v>
          </cell>
        </row>
        <row r="6">
          <cell r="A6">
            <v>3</v>
          </cell>
          <cell r="B6">
            <v>1.39029</v>
          </cell>
          <cell r="C6">
            <v>5.3341964134827426</v>
          </cell>
          <cell r="D6">
            <v>1.2196800000000003</v>
          </cell>
          <cell r="E6">
            <v>4.8344075598041334</v>
          </cell>
          <cell r="F6">
            <v>1.0998900000000003</v>
          </cell>
          <cell r="G6">
            <v>4.2746626102241567</v>
          </cell>
          <cell r="H6">
            <v>0.94743000000000022</v>
          </cell>
          <cell r="I6">
            <v>3.899343616452029</v>
          </cell>
          <cell r="J6">
            <v>0.83490000000000009</v>
          </cell>
          <cell r="K6">
            <v>3.4505459739152577</v>
          </cell>
          <cell r="Y6">
            <v>1</v>
          </cell>
          <cell r="Z6">
            <v>-1.0287129650000244</v>
          </cell>
          <cell r="AA6">
            <v>-1.646978734741281</v>
          </cell>
          <cell r="AB6">
            <v>-2.1892427187188477</v>
          </cell>
          <cell r="AC6">
            <v>-2.6116868192710734</v>
          </cell>
          <cell r="AD6">
            <v>-2.9616247662303672</v>
          </cell>
          <cell r="AF6">
            <v>39.358476000000003</v>
          </cell>
          <cell r="AJ6">
            <v>44.114925132779874</v>
          </cell>
        </row>
        <row r="7">
          <cell r="A7">
            <v>5</v>
          </cell>
          <cell r="B7">
            <v>2.3171500000000003</v>
          </cell>
          <cell r="C7">
            <v>13.912308050625274</v>
          </cell>
          <cell r="D7">
            <v>2.0328000000000004</v>
          </cell>
          <cell r="E7">
            <v>11.403097559801452</v>
          </cell>
          <cell r="F7">
            <v>1.8331500000000005</v>
          </cell>
          <cell r="G7">
            <v>9.4822003739417173</v>
          </cell>
          <cell r="H7">
            <v>1.5790500000000005</v>
          </cell>
          <cell r="I7">
            <v>7.894655772937238</v>
          </cell>
          <cell r="J7">
            <v>1.3915000000000002</v>
          </cell>
          <cell r="K7">
            <v>6.8941967002095623</v>
          </cell>
          <cell r="Y7">
            <v>3</v>
          </cell>
          <cell r="Z7">
            <v>-0.1321056154220048</v>
          </cell>
          <cell r="AA7">
            <v>-0.88065390193263604</v>
          </cell>
          <cell r="AB7">
            <v>-1.5197012705612354</v>
          </cell>
          <cell r="AC7">
            <v>-2.0562136965119837</v>
          </cell>
          <cell r="AD7">
            <v>-2.542813209955225</v>
          </cell>
          <cell r="AF7">
            <v>48.819807999999995</v>
          </cell>
          <cell r="AJ7">
            <v>49.238943476479228</v>
          </cell>
        </row>
        <row r="8">
          <cell r="A8">
            <v>10</v>
          </cell>
          <cell r="B8">
            <v>4.6343000000000005</v>
          </cell>
          <cell r="C8">
            <v>88.928665180652956</v>
          </cell>
          <cell r="D8">
            <v>4.0656000000000008</v>
          </cell>
          <cell r="E8">
            <v>64.244160207182574</v>
          </cell>
          <cell r="F8">
            <v>3.666300000000001</v>
          </cell>
          <cell r="G8">
            <v>48.341302617025882</v>
          </cell>
          <cell r="H8">
            <v>3.158100000000001</v>
          </cell>
          <cell r="I8">
            <v>37.793765455410053</v>
          </cell>
          <cell r="J8">
            <v>2.7830000000000004</v>
          </cell>
          <cell r="K8">
            <v>29.255518640367381</v>
          </cell>
          <cell r="Y8">
            <v>5</v>
          </cell>
          <cell r="Z8">
            <v>0.82653005617720665</v>
          </cell>
          <cell r="AA8">
            <v>-2.2527457484465965E-2</v>
          </cell>
          <cell r="AB8">
            <v>-0.7229900519603385</v>
          </cell>
          <cell r="AC8">
            <v>-1.3508358858933189</v>
          </cell>
          <cell r="AD8">
            <v>-1.8506656820116296</v>
          </cell>
          <cell r="AF8">
            <v>54.415129999999998</v>
          </cell>
          <cell r="AJ8">
            <v>53.459724889297057</v>
          </cell>
        </row>
        <row r="9">
          <cell r="A9">
            <v>15</v>
          </cell>
          <cell r="B9">
            <v>6.9514500000000004</v>
          </cell>
          <cell r="C9">
            <v>309.8095244119408</v>
          </cell>
          <cell r="D9">
            <v>6.0984000000000007</v>
          </cell>
          <cell r="E9">
            <v>186.74864185754157</v>
          </cell>
          <cell r="F9">
            <v>5.4994500000000004</v>
          </cell>
          <cell r="G9">
            <v>127.5116105175925</v>
          </cell>
          <cell r="H9">
            <v>4.7371500000000006</v>
          </cell>
          <cell r="I9">
            <v>93.97729903183459</v>
          </cell>
          <cell r="J9">
            <v>4.1745000000000001</v>
          </cell>
          <cell r="K9">
            <v>70.999574221109228</v>
          </cell>
          <cell r="Y9">
            <v>10</v>
          </cell>
          <cell r="Z9">
            <v>2.6815906700942391</v>
          </cell>
          <cell r="AA9">
            <v>1.7062783361784961</v>
          </cell>
          <cell r="AB9">
            <v>0.9058798736420417</v>
          </cell>
          <cell r="AC9">
            <v>0.21512222197107334</v>
          </cell>
          <cell r="AD9">
            <v>-0.40527745443933544</v>
          </cell>
          <cell r="AF9">
            <v>62.396569999999997</v>
          </cell>
          <cell r="AJ9">
            <v>62.429753626931571</v>
          </cell>
        </row>
        <row r="10">
          <cell r="Y10">
            <v>15</v>
          </cell>
          <cell r="Z10">
            <v>3.9297138078253204</v>
          </cell>
          <cell r="AA10">
            <v>2.7733510597210427</v>
          </cell>
          <cell r="AB10">
            <v>1.8758009750850924</v>
          </cell>
          <cell r="AC10">
            <v>1.1260313214338038</v>
          </cell>
          <cell r="AD10">
            <v>0.48132819835101853</v>
          </cell>
          <cell r="AF10">
            <v>69.621436000000003</v>
          </cell>
          <cell r="AJ10">
            <v>70.239883699629928</v>
          </cell>
        </row>
        <row r="30">
          <cell r="S30" t="str">
            <v>xylan</v>
          </cell>
          <cell r="T30" t="str">
            <v>cellulose</v>
          </cell>
          <cell r="U30" t="str">
            <v>cellulose acetate</v>
          </cell>
        </row>
        <row r="31">
          <cell r="R31">
            <v>20</v>
          </cell>
          <cell r="S31">
            <v>38.299999999999997</v>
          </cell>
          <cell r="T31">
            <v>105.50380590873543</v>
          </cell>
          <cell r="U31">
            <v>50.4</v>
          </cell>
        </row>
        <row r="32">
          <cell r="R32">
            <v>30</v>
          </cell>
          <cell r="S32">
            <v>33.6</v>
          </cell>
          <cell r="T32">
            <v>99.288723692372372</v>
          </cell>
          <cell r="U32">
            <v>47.3</v>
          </cell>
        </row>
        <row r="33">
          <cell r="R33">
            <v>40</v>
          </cell>
          <cell r="S33">
            <v>30.3</v>
          </cell>
          <cell r="T33">
            <v>88.275569445794787</v>
          </cell>
          <cell r="U33">
            <v>45.5</v>
          </cell>
        </row>
        <row r="34">
          <cell r="R34">
            <v>50</v>
          </cell>
          <cell r="S34">
            <v>26.1</v>
          </cell>
          <cell r="T34">
            <v>83.219058988217313</v>
          </cell>
          <cell r="U34">
            <v>43.2</v>
          </cell>
        </row>
        <row r="35">
          <cell r="R35">
            <v>60</v>
          </cell>
          <cell r="S35">
            <v>23</v>
          </cell>
          <cell r="T35">
            <v>78.071540195545253</v>
          </cell>
          <cell r="U35">
            <v>40.1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J104"/>
  <sheetViews>
    <sheetView tabSelected="1" zoomScale="70" zoomScaleNormal="70" workbookViewId="0">
      <selection activeCell="AF66" sqref="AF66"/>
    </sheetView>
  </sheetViews>
  <sheetFormatPr defaultRowHeight="12.75" x14ac:dyDescent="0.2"/>
  <cols>
    <col min="3" max="3" width="11.28515625" customWidth="1"/>
    <col min="8" max="8" width="12.42578125" bestFit="1" customWidth="1"/>
    <col min="9" max="9" width="12.5703125" bestFit="1" customWidth="1"/>
    <col min="13" max="13" width="13" bestFit="1" customWidth="1"/>
    <col min="20" max="20" width="12.42578125" bestFit="1" customWidth="1"/>
    <col min="23" max="23" width="13.140625" bestFit="1" customWidth="1"/>
    <col min="24" max="24" width="15.85546875" bestFit="1" customWidth="1"/>
    <col min="25" max="25" width="12.5703125" bestFit="1" customWidth="1"/>
    <col min="26" max="26" width="13.140625" bestFit="1" customWidth="1"/>
    <col min="27" max="27" width="12.5703125" bestFit="1" customWidth="1"/>
    <col min="28" max="30" width="13.140625" bestFit="1" customWidth="1"/>
    <col min="31" max="31" width="12.7109375" bestFit="1" customWidth="1"/>
    <col min="32" max="32" width="13.140625" bestFit="1" customWidth="1"/>
    <col min="33" max="33" width="12.7109375" bestFit="1" customWidth="1"/>
    <col min="34" max="34" width="13.140625" bestFit="1" customWidth="1"/>
    <col min="35" max="35" width="12.7109375" bestFit="1" customWidth="1"/>
    <col min="36" max="36" width="13.140625" bestFit="1" customWidth="1"/>
  </cols>
  <sheetData>
    <row r="7" spans="20:36" ht="15" x14ac:dyDescent="0.25">
      <c r="AG7" s="65"/>
      <c r="AH7" s="65"/>
      <c r="AI7" s="65"/>
      <c r="AJ7" s="65"/>
    </row>
    <row r="8" spans="20:36" ht="15" x14ac:dyDescent="0.25">
      <c r="AG8" s="65"/>
      <c r="AH8" s="65"/>
      <c r="AI8" s="65"/>
      <c r="AJ8" s="65"/>
    </row>
    <row r="9" spans="20:36" ht="15" x14ac:dyDescent="0.25">
      <c r="AG9" s="65"/>
      <c r="AH9" s="65"/>
      <c r="AI9" s="65"/>
      <c r="AJ9" s="65"/>
    </row>
    <row r="10" spans="20:36" ht="15" x14ac:dyDescent="0.25">
      <c r="X10" s="13"/>
      <c r="Y10" s="13"/>
      <c r="Z10" s="13"/>
      <c r="AA10" s="13"/>
      <c r="AG10" s="65"/>
      <c r="AH10" s="65"/>
      <c r="AI10" s="65"/>
      <c r="AJ10" s="65"/>
    </row>
    <row r="11" spans="20:36" ht="15" x14ac:dyDescent="0.25"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</row>
    <row r="12" spans="20:36" ht="15" x14ac:dyDescent="0.25">
      <c r="T12" t="s">
        <v>59</v>
      </c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</row>
    <row r="13" spans="20:36" ht="15" x14ac:dyDescent="0.25">
      <c r="T13">
        <v>0.01</v>
      </c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</row>
    <row r="14" spans="20:36" ht="15" x14ac:dyDescent="0.25">
      <c r="T14">
        <v>0.02</v>
      </c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</row>
    <row r="15" spans="20:36" ht="15" x14ac:dyDescent="0.25"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</row>
    <row r="16" spans="20:36" ht="15" x14ac:dyDescent="0.25"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</row>
    <row r="17" spans="1:36" ht="15" x14ac:dyDescent="0.25">
      <c r="W17" s="65" t="s">
        <v>108</v>
      </c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</row>
    <row r="18" spans="1:36" ht="15" x14ac:dyDescent="0.25">
      <c r="A18" s="10" t="s">
        <v>58</v>
      </c>
      <c r="B18" s="10"/>
      <c r="C18" s="10" t="s">
        <v>1</v>
      </c>
      <c r="L18" s="6" t="s">
        <v>57</v>
      </c>
      <c r="M18" s="6" t="s">
        <v>1</v>
      </c>
      <c r="N18" s="6"/>
      <c r="W18" s="65" t="s">
        <v>14</v>
      </c>
      <c r="X18" s="65"/>
      <c r="Y18" s="65">
        <v>1</v>
      </c>
      <c r="Z18" s="65"/>
      <c r="AA18" s="65">
        <v>3</v>
      </c>
      <c r="AB18" s="65"/>
      <c r="AC18" s="65">
        <v>5</v>
      </c>
      <c r="AD18" s="65"/>
      <c r="AE18" s="65">
        <v>10</v>
      </c>
      <c r="AF18" s="65"/>
      <c r="AG18" s="65">
        <v>15</v>
      </c>
      <c r="AH18" s="65"/>
      <c r="AI18" s="65" t="s">
        <v>107</v>
      </c>
      <c r="AJ18" s="65"/>
    </row>
    <row r="19" spans="1:36" x14ac:dyDescent="0.2">
      <c r="A19" s="10" t="s">
        <v>3</v>
      </c>
      <c r="B19" s="10" t="s">
        <v>18</v>
      </c>
      <c r="C19" s="10"/>
      <c r="G19" t="s">
        <v>8</v>
      </c>
      <c r="H19" t="s">
        <v>9</v>
      </c>
      <c r="L19" s="10" t="s">
        <v>3</v>
      </c>
      <c r="M19" s="10" t="s">
        <v>17</v>
      </c>
      <c r="N19" s="10"/>
      <c r="R19" t="s">
        <v>8</v>
      </c>
      <c r="S19" t="s">
        <v>9</v>
      </c>
      <c r="W19" s="10" t="s">
        <v>89</v>
      </c>
      <c r="X19" s="10" t="s">
        <v>90</v>
      </c>
      <c r="Y19" s="10" t="s">
        <v>89</v>
      </c>
      <c r="Z19" s="10" t="s">
        <v>90</v>
      </c>
      <c r="AA19" s="10" t="s">
        <v>89</v>
      </c>
      <c r="AB19" s="10" t="s">
        <v>90</v>
      </c>
      <c r="AC19" s="10" t="s">
        <v>89</v>
      </c>
      <c r="AD19" s="10" t="s">
        <v>90</v>
      </c>
      <c r="AE19" s="10" t="s">
        <v>89</v>
      </c>
      <c r="AF19" s="10" t="s">
        <v>90</v>
      </c>
      <c r="AG19" s="10" t="s">
        <v>89</v>
      </c>
      <c r="AH19" s="10" t="s">
        <v>90</v>
      </c>
      <c r="AI19" s="10" t="s">
        <v>89</v>
      </c>
      <c r="AJ19" s="10" t="s">
        <v>90</v>
      </c>
    </row>
    <row r="20" spans="1:36" x14ac:dyDescent="0.2">
      <c r="A20" s="12"/>
      <c r="B20" s="12">
        <v>0</v>
      </c>
      <c r="C20" s="12">
        <v>1</v>
      </c>
      <c r="D20" s="12">
        <v>3</v>
      </c>
      <c r="E20" s="12">
        <v>5</v>
      </c>
      <c r="F20" s="12">
        <v>10</v>
      </c>
      <c r="G20" s="12">
        <v>15</v>
      </c>
      <c r="H20" s="12" t="s">
        <v>6</v>
      </c>
      <c r="L20" s="8"/>
      <c r="M20" s="12">
        <v>0</v>
      </c>
      <c r="N20" s="12">
        <v>1</v>
      </c>
      <c r="O20" s="12">
        <v>3</v>
      </c>
      <c r="P20" s="12">
        <v>5</v>
      </c>
      <c r="Q20" s="12">
        <v>10</v>
      </c>
      <c r="R20" s="12">
        <v>15</v>
      </c>
      <c r="S20" s="9" t="s">
        <v>5</v>
      </c>
      <c r="W20" s="61">
        <f t="array" ref="W20:X21">LINEST(B21:B26,A21:A26, 1, 1)</f>
        <v>1.9119679511077156E-12</v>
      </c>
      <c r="X20" s="61">
        <v>-3.9181298619811545E-11</v>
      </c>
      <c r="Y20" s="61">
        <f t="array" ref="Y20:Z21">LINEST(C21:C26,A21:A26, 1, 1)</f>
        <v>1.8208547619047609E-12</v>
      </c>
      <c r="Z20" s="61">
        <v>-3.6846992063492021E-11</v>
      </c>
      <c r="AA20" s="61">
        <f t="array" ref="AA20:AB21">LINEST(D21:D26,A21:A26, 1, 1)</f>
        <v>1.4111119047619046E-12</v>
      </c>
      <c r="AB20" s="61">
        <v>-2.666434126984127E-11</v>
      </c>
      <c r="AC20" s="61">
        <f t="array" ref="AC20:AD21">LINEST(E21:E26,A21:A26, 1, 1)</f>
        <v>1.4500999999999996E-12</v>
      </c>
      <c r="AD20" s="61">
        <v>-3.1134888888888872E-11</v>
      </c>
      <c r="AE20" s="61">
        <f t="array" ref="AE20:AF21">LINEST(F21:F26,A21:A26, 1, 1)</f>
        <v>9.8259190476190495E-13</v>
      </c>
      <c r="AF20" s="61">
        <v>-2.1399441269841278E-11</v>
      </c>
      <c r="AG20" s="61">
        <f t="array" ref="AG20:AH21">LINEST(G21:G26,A21:A26, 1, 1)</f>
        <v>6.8874399999999974E-13</v>
      </c>
      <c r="AH20" s="61">
        <v>-1.5772991111111099E-11</v>
      </c>
      <c r="AI20" s="61">
        <f t="array" ref="AI20:AJ21">LINEST(H21:H26,A21:A26, 1, 1)</f>
        <v>5.264585814125162E-13</v>
      </c>
      <c r="AJ20" s="61">
        <v>-1.2419981601649875E-11</v>
      </c>
    </row>
    <row r="21" spans="1:36" x14ac:dyDescent="0.2">
      <c r="A21" s="3">
        <v>20</v>
      </c>
      <c r="B21" s="11">
        <v>9.5654274509803925E-12</v>
      </c>
      <c r="C21" s="11">
        <v>8.3171666666666661E-12</v>
      </c>
      <c r="D21" s="11">
        <v>7.2924999999999987E-12</v>
      </c>
      <c r="E21" s="11">
        <v>5.8859999999999998E-12</v>
      </c>
      <c r="F21" s="11">
        <v>3.5366666666666665E-12</v>
      </c>
      <c r="G21" s="11">
        <v>1.8474000000000004E-12</v>
      </c>
      <c r="H21" s="8">
        <v>1.3196283185840709E-12</v>
      </c>
      <c r="L21" s="3">
        <v>20</v>
      </c>
      <c r="M21" s="11">
        <v>7.7200000000000002E-12</v>
      </c>
      <c r="N21" s="11">
        <v>7.0200000000000004E-12</v>
      </c>
      <c r="O21" s="11">
        <v>6.1900000000000001E-12</v>
      </c>
      <c r="P21" s="11">
        <v>4.92E-12</v>
      </c>
      <c r="Q21" s="11">
        <v>2.9200000000000001E-12</v>
      </c>
      <c r="R21" s="11">
        <v>1.6E-12</v>
      </c>
      <c r="S21">
        <v>9.9472566371681425E-13</v>
      </c>
      <c r="W21" s="61">
        <v>2.428779704798816E-13</v>
      </c>
      <c r="X21" s="61">
        <v>1.1690145057323033E-11</v>
      </c>
      <c r="Y21" s="61">
        <v>2.2867394278914493E-13</v>
      </c>
      <c r="Z21" s="61">
        <v>1.1006480154430166E-11</v>
      </c>
      <c r="AA21" s="61">
        <v>1.2325318875917415E-13</v>
      </c>
      <c r="AB21" s="61">
        <v>5.9323933435606205E-12</v>
      </c>
      <c r="AC21" s="61">
        <v>2.0322553205320157E-13</v>
      </c>
      <c r="AD21" s="61">
        <v>9.7816032650452672E-12</v>
      </c>
      <c r="AE21" s="61">
        <v>1.2484784149758536E-13</v>
      </c>
      <c r="AF21" s="61">
        <v>6.0091467921803198E-12</v>
      </c>
      <c r="AG21" s="61">
        <v>9.2164336670913109E-14</v>
      </c>
      <c r="AH21" s="61">
        <v>4.4360320644402648E-12</v>
      </c>
      <c r="AI21" s="61">
        <v>7.3203244203466971E-14</v>
      </c>
      <c r="AJ21" s="61">
        <v>3.523401244313574E-12</v>
      </c>
    </row>
    <row r="22" spans="1:36" x14ac:dyDescent="0.2">
      <c r="A22" s="3">
        <v>30</v>
      </c>
      <c r="B22" s="11">
        <v>1.6062588235294118E-11</v>
      </c>
      <c r="C22" s="11">
        <v>1.6760000000000002E-11</v>
      </c>
      <c r="D22" s="11">
        <v>1.4231666666666666E-11</v>
      </c>
      <c r="E22" s="11">
        <v>1.2074999999999999E-11</v>
      </c>
      <c r="F22" s="11">
        <v>7.4381666666666656E-12</v>
      </c>
      <c r="G22" s="11">
        <v>4.5252000000000001E-12</v>
      </c>
      <c r="H22" s="8">
        <v>2.8922248995983937E-12</v>
      </c>
      <c r="L22" s="3">
        <v>30</v>
      </c>
      <c r="M22" s="11">
        <v>1.37E-11</v>
      </c>
      <c r="N22" s="11">
        <v>1.44E-11</v>
      </c>
      <c r="O22" s="11">
        <v>1.2200000000000001E-11</v>
      </c>
      <c r="P22" s="11">
        <v>1.0199999999999999E-11</v>
      </c>
      <c r="Q22" s="11">
        <v>6.1799999999999999E-12</v>
      </c>
      <c r="R22" s="11">
        <v>3.7399999999999998E-12</v>
      </c>
      <c r="S22">
        <v>2.1468915662650604E-12</v>
      </c>
      <c r="W22" s="61">
        <f>-W21/W20</f>
        <v>-0.12703035651783184</v>
      </c>
      <c r="X22" s="61"/>
      <c r="Y22" s="61">
        <f>Y21/Y20</f>
        <v>0.12558604210142138</v>
      </c>
      <c r="Z22" s="61"/>
      <c r="AA22" s="61">
        <f>-AA21/AA20</f>
        <v>-8.734473031036509E-2</v>
      </c>
      <c r="AB22" s="61"/>
      <c r="AC22" s="61">
        <f>-AC21/AC20</f>
        <v>-0.14014587411433807</v>
      </c>
      <c r="AD22" s="61"/>
      <c r="AE22" s="61">
        <f>-AE21/AE20</f>
        <v>-0.12705970901300845</v>
      </c>
      <c r="AF22" s="61"/>
      <c r="AG22" s="61">
        <f>-AG21/AG20</f>
        <v>-0.13381508466268038</v>
      </c>
      <c r="AH22" s="61"/>
      <c r="AI22" s="61">
        <f>-AI21/AI20</f>
        <v>-0.1390484394936802</v>
      </c>
      <c r="AJ22" s="61"/>
    </row>
    <row r="23" spans="1:36" ht="15" x14ac:dyDescent="0.25">
      <c r="A23" s="3">
        <v>40</v>
      </c>
      <c r="B23" s="11">
        <v>3.0483393939393933E-11</v>
      </c>
      <c r="C23" s="11">
        <v>3.0106666666666662E-11</v>
      </c>
      <c r="D23" s="11">
        <v>2.5289999999999997E-11</v>
      </c>
      <c r="E23" s="11">
        <v>2.0558333333333332E-11</v>
      </c>
      <c r="F23" s="11">
        <v>1.3821666666666668E-11</v>
      </c>
      <c r="G23" s="11">
        <v>8.6936666666666664E-12</v>
      </c>
      <c r="H23" s="8">
        <v>6.0412862745098045E-12</v>
      </c>
      <c r="L23" s="3">
        <v>40</v>
      </c>
      <c r="M23" s="11">
        <v>2.5699999999999999E-11</v>
      </c>
      <c r="N23" s="11">
        <v>2.6400000000000001E-11</v>
      </c>
      <c r="O23" s="11">
        <v>2.21E-11</v>
      </c>
      <c r="P23" s="11">
        <v>1.7799999999999999E-11</v>
      </c>
      <c r="Q23" s="11">
        <v>1.1600000000000001E-11</v>
      </c>
      <c r="R23" s="11">
        <v>7.1799999999999997E-12</v>
      </c>
      <c r="S23">
        <v>4.6070588235294119E-12</v>
      </c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</row>
    <row r="24" spans="1:36" ht="15" x14ac:dyDescent="0.25">
      <c r="A24" s="3">
        <v>50</v>
      </c>
      <c r="B24" s="11">
        <v>4.5985212121212116E-11</v>
      </c>
      <c r="C24" s="11">
        <v>4.6361666666666661E-11</v>
      </c>
      <c r="D24" s="11">
        <v>4.0016666666666669E-11</v>
      </c>
      <c r="E24" s="11">
        <v>3.3008333333333332E-11</v>
      </c>
      <c r="F24" s="11">
        <v>2.2716666666666668E-11</v>
      </c>
      <c r="G24" s="11">
        <v>1.5045000000000001E-11</v>
      </c>
      <c r="H24" s="8">
        <v>1.1162363636363635E-11</v>
      </c>
      <c r="L24" s="3">
        <v>50</v>
      </c>
      <c r="M24" s="11">
        <v>3.8699999999999999E-11</v>
      </c>
      <c r="N24" s="11">
        <v>4.1000000000000001E-11</v>
      </c>
      <c r="O24" s="11">
        <v>3.5199999999999999E-11</v>
      </c>
      <c r="P24" s="11">
        <v>2.8899999999999998E-11</v>
      </c>
      <c r="Q24" s="11">
        <v>1.9199999999999999E-11</v>
      </c>
      <c r="R24" s="11">
        <v>1.24E-11</v>
      </c>
      <c r="S24">
        <v>8.4152727272727263E-12</v>
      </c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</row>
    <row r="25" spans="1:36" ht="15" x14ac:dyDescent="0.25">
      <c r="A25" s="3">
        <v>60</v>
      </c>
      <c r="B25" s="11">
        <v>7.2766400000000001E-11</v>
      </c>
      <c r="C25" s="11">
        <v>6.6053333333333326E-11</v>
      </c>
      <c r="D25" s="11">
        <v>5.629833333333333E-11</v>
      </c>
      <c r="E25" s="11">
        <v>5.2604999999999996E-11</v>
      </c>
      <c r="F25" s="11">
        <v>3.597E-11</v>
      </c>
      <c r="G25" s="11">
        <v>2.4268333333333335E-11</v>
      </c>
      <c r="H25" s="8">
        <v>1.8313939393939392E-11</v>
      </c>
      <c r="L25" s="3">
        <v>60</v>
      </c>
      <c r="M25" s="11">
        <v>6.5500000000000006E-11</v>
      </c>
      <c r="N25" s="11">
        <v>5.92E-11</v>
      </c>
      <c r="O25" s="11">
        <v>5.17E-11</v>
      </c>
      <c r="P25" s="11">
        <v>4.6800000000000003E-11</v>
      </c>
      <c r="Q25" s="11">
        <v>3.0499999999999998E-11</v>
      </c>
      <c r="R25" s="11">
        <v>2.0199999999999999E-11</v>
      </c>
      <c r="S25">
        <v>1.3350545454545454E-11</v>
      </c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</row>
    <row r="26" spans="1:36" ht="15" x14ac:dyDescent="0.25">
      <c r="A26" s="3">
        <v>70</v>
      </c>
      <c r="B26" s="11">
        <v>1.0628053333333334E-10</v>
      </c>
      <c r="C26" s="11">
        <v>1.0294999999999999E-10</v>
      </c>
      <c r="D26" s="11">
        <v>7.7884999999999998E-11</v>
      </c>
      <c r="E26" s="11">
        <v>8.0584999999999999E-11</v>
      </c>
      <c r="F26" s="11">
        <v>5.3420000000000001E-11</v>
      </c>
      <c r="G26" s="11">
        <v>3.6943333333333336E-11</v>
      </c>
      <c r="H26" s="8">
        <v>2.7894484848484843E-11</v>
      </c>
      <c r="L26" s="3">
        <v>70</v>
      </c>
      <c r="M26" s="11">
        <v>9.6000000000000005E-11</v>
      </c>
      <c r="N26" s="11">
        <v>9.5700000000000003E-11</v>
      </c>
      <c r="O26" s="11">
        <v>7.2199999999999994E-11</v>
      </c>
      <c r="P26" s="11">
        <v>7.18E-11</v>
      </c>
      <c r="Q26" s="11">
        <v>4.58E-11</v>
      </c>
      <c r="R26" s="11">
        <v>3.08E-11</v>
      </c>
      <c r="S26">
        <v>2.1386181818181817E-11</v>
      </c>
      <c r="W26" s="65" t="s">
        <v>109</v>
      </c>
      <c r="X26" s="65"/>
      <c r="Y26" s="65">
        <v>1</v>
      </c>
      <c r="Z26" s="65"/>
      <c r="AA26" s="65">
        <v>3</v>
      </c>
      <c r="AB26" s="65"/>
      <c r="AC26" s="65">
        <v>5</v>
      </c>
      <c r="AD26" s="65"/>
      <c r="AE26" s="65">
        <v>10</v>
      </c>
      <c r="AF26" s="65"/>
      <c r="AG26" s="65">
        <v>15</v>
      </c>
      <c r="AH26" s="65"/>
      <c r="AI26" s="65" t="s">
        <v>107</v>
      </c>
      <c r="AJ26" s="65"/>
    </row>
    <row r="27" spans="1:36" x14ac:dyDescent="0.2">
      <c r="W27" s="10" t="s">
        <v>89</v>
      </c>
      <c r="X27" s="10" t="s">
        <v>90</v>
      </c>
      <c r="Y27" s="10" t="s">
        <v>89</v>
      </c>
      <c r="Z27" s="10" t="s">
        <v>90</v>
      </c>
      <c r="AA27" s="10" t="s">
        <v>89</v>
      </c>
      <c r="AB27" s="10" t="s">
        <v>90</v>
      </c>
      <c r="AC27" s="10" t="s">
        <v>89</v>
      </c>
      <c r="AD27" s="10" t="s">
        <v>90</v>
      </c>
      <c r="AE27" s="10" t="s">
        <v>89</v>
      </c>
      <c r="AF27" s="10" t="s">
        <v>90</v>
      </c>
      <c r="AG27" s="10" t="s">
        <v>89</v>
      </c>
      <c r="AH27" s="10" t="s">
        <v>90</v>
      </c>
      <c r="AI27" s="10" t="s">
        <v>89</v>
      </c>
      <c r="AJ27" s="10" t="s">
        <v>90</v>
      </c>
    </row>
    <row r="28" spans="1:36" x14ac:dyDescent="0.2">
      <c r="M28">
        <f>(E21-P21)^2</f>
        <v>9.3315599999999944E-25</v>
      </c>
      <c r="W28" s="61">
        <f t="array" ref="W28:X29">LINEST(M21:M26,L21:L26, 1, 1)</f>
        <v>1.7422857142857141E-12</v>
      </c>
      <c r="X28" s="61">
        <v>-3.7182857142857132E-11</v>
      </c>
      <c r="Y28" s="61">
        <f t="array" ref="Y28:Z29">LINEST(N21:N26,L21:L26, 1, 1)</f>
        <v>1.6925714285714286E-12</v>
      </c>
      <c r="Z28" s="61">
        <v>-3.5545714285714281E-11</v>
      </c>
      <c r="AA28" s="61">
        <f t="array" ref="AA28:AB29">LINEST(O21:O26,L21:L26, 1, 1)</f>
        <v>1.3189999999999999E-12</v>
      </c>
      <c r="AB28" s="61">
        <v>-2.6089999999999997E-11</v>
      </c>
      <c r="AC28" s="61">
        <f t="array" ref="AC28:AD29">LINEST(P21:P26,L21:L26, 1, 1)</f>
        <v>1.3008571428571425E-12</v>
      </c>
      <c r="AD28" s="61">
        <v>-2.8468571428571409E-11</v>
      </c>
      <c r="AE28" s="61">
        <f t="array" ref="AE28:AF29">LINEST(Q21:Q26,L21:L26, 1, 1)</f>
        <v>8.4274285714285709E-13</v>
      </c>
      <c r="AF28" s="61">
        <v>-1.8556761904761901E-11</v>
      </c>
      <c r="AG28" s="61">
        <f t="array" ref="AG28:AH29">LINEST(R21:R26,L21:L26, 1, 1)</f>
        <v>5.7314285714285711E-13</v>
      </c>
      <c r="AH28" s="61">
        <v>-1.3138095238095238E-11</v>
      </c>
      <c r="AI28" s="61">
        <f t="array" ref="AI28:AJ29">LINEST(S21:S26,L21:L26, 1, 1)</f>
        <v>3.982184466883129E-13</v>
      </c>
      <c r="AJ28" s="61">
        <v>-9.4363840920555314E-12</v>
      </c>
    </row>
    <row r="29" spans="1:36" x14ac:dyDescent="0.2">
      <c r="W29" s="61">
        <v>2.4052289975410332E-13</v>
      </c>
      <c r="X29" s="61">
        <v>1.1576791349902774E-11</v>
      </c>
      <c r="Y29" s="61">
        <v>2.3434633362105886E-13</v>
      </c>
      <c r="Z29" s="61">
        <v>1.12795023289645E-11</v>
      </c>
      <c r="AA29" s="61">
        <v>1.289479407690228E-13</v>
      </c>
      <c r="AB29" s="61">
        <v>6.2064918010249911E-12</v>
      </c>
      <c r="AC29" s="61">
        <v>1.8483417830419711E-13</v>
      </c>
      <c r="AD29" s="61">
        <v>8.8963949742249482E-12</v>
      </c>
      <c r="AE29" s="61">
        <v>1.0988628383082966E-13</v>
      </c>
      <c r="AF29" s="61">
        <v>5.289020635566353E-12</v>
      </c>
      <c r="AG29" s="61">
        <v>7.8409773096258853E-14</v>
      </c>
      <c r="AH29" s="61">
        <v>3.774000662126653E-12</v>
      </c>
      <c r="AI29" s="61">
        <v>5.8458469327749103E-14</v>
      </c>
      <c r="AJ29" s="61">
        <v>2.8137092257490832E-12</v>
      </c>
    </row>
    <row r="30" spans="1:36" x14ac:dyDescent="0.2">
      <c r="W30" s="61">
        <f>-W29/W28</f>
        <v>-0.13805020484410654</v>
      </c>
      <c r="X30" s="61"/>
      <c r="Y30" s="61">
        <f>Y29/Y28</f>
        <v>0.13845580143040276</v>
      </c>
      <c r="Z30" s="61"/>
      <c r="AA30" s="61">
        <f>-AA29/AA28</f>
        <v>-9.7761895958319037E-2</v>
      </c>
      <c r="AB30" s="61"/>
      <c r="AC30" s="61">
        <f>-AC29/AC28</f>
        <v>-0.14208645378095544</v>
      </c>
      <c r="AD30" s="61"/>
      <c r="AE30" s="61">
        <f>-AE29/AE28</f>
        <v>-0.13039123725518845</v>
      </c>
      <c r="AF30" s="61"/>
      <c r="AG30" s="61">
        <f>-AG29/AG28</f>
        <v>-0.13680668286984346</v>
      </c>
      <c r="AH30" s="61"/>
      <c r="AI30" s="61">
        <f>-AI29/AI28</f>
        <v>-0.1468000033999047</v>
      </c>
      <c r="AJ30" s="61"/>
    </row>
    <row r="31" spans="1:36" ht="15" x14ac:dyDescent="0.25"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</row>
    <row r="32" spans="1:36" ht="15" x14ac:dyDescent="0.25"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</row>
    <row r="33" spans="23:36" ht="15" x14ac:dyDescent="0.25"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</row>
    <row r="34" spans="23:36" ht="15" x14ac:dyDescent="0.25"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</row>
    <row r="35" spans="23:36" ht="15" x14ac:dyDescent="0.25"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</row>
    <row r="36" spans="23:36" ht="15" x14ac:dyDescent="0.25"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</row>
    <row r="37" spans="23:36" ht="15" x14ac:dyDescent="0.25"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</row>
    <row r="38" spans="23:36" ht="15" x14ac:dyDescent="0.25"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</row>
    <row r="39" spans="23:36" ht="15" x14ac:dyDescent="0.25"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</row>
    <row r="40" spans="23:36" ht="15" x14ac:dyDescent="0.25"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</row>
    <row r="41" spans="23:36" ht="15" x14ac:dyDescent="0.25"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</row>
    <row r="42" spans="23:36" ht="15" x14ac:dyDescent="0.25"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</row>
    <row r="43" spans="23:36" ht="15" x14ac:dyDescent="0.25"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</row>
    <row r="44" spans="23:36" ht="15" x14ac:dyDescent="0.25"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</row>
    <row r="45" spans="23:36" ht="15" x14ac:dyDescent="0.25"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</row>
    <row r="46" spans="23:36" ht="15" x14ac:dyDescent="0.25"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</row>
    <row r="47" spans="23:36" ht="15" x14ac:dyDescent="0.25"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</row>
    <row r="48" spans="23:36" ht="15" x14ac:dyDescent="0.25"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</row>
    <row r="49" spans="23:36" ht="15" x14ac:dyDescent="0.25"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</row>
    <row r="50" spans="23:36" ht="15" x14ac:dyDescent="0.25"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</row>
    <row r="51" spans="23:36" ht="15" x14ac:dyDescent="0.25"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</row>
    <row r="52" spans="23:36" ht="15" x14ac:dyDescent="0.25"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</row>
    <row r="53" spans="23:36" ht="15" x14ac:dyDescent="0.25"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</row>
    <row r="54" spans="23:36" ht="15" x14ac:dyDescent="0.25"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</row>
    <row r="55" spans="23:36" ht="15" x14ac:dyDescent="0.25"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</row>
    <row r="56" spans="23:36" ht="15" x14ac:dyDescent="0.25"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</row>
    <row r="57" spans="23:36" ht="15" x14ac:dyDescent="0.25"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</row>
    <row r="58" spans="23:36" ht="15" x14ac:dyDescent="0.25"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</row>
    <row r="59" spans="23:36" ht="15" x14ac:dyDescent="0.25"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</row>
    <row r="60" spans="23:36" ht="15" x14ac:dyDescent="0.25"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</row>
    <row r="61" spans="23:36" ht="15" x14ac:dyDescent="0.25"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</row>
    <row r="62" spans="23:36" ht="15" x14ac:dyDescent="0.25"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</row>
    <row r="63" spans="23:36" ht="15" x14ac:dyDescent="0.25"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</row>
    <row r="64" spans="23:36" ht="15" x14ac:dyDescent="0.25"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</row>
    <row r="65" spans="23:36" ht="15" x14ac:dyDescent="0.25"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</row>
    <row r="66" spans="23:36" ht="15" x14ac:dyDescent="0.25"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</row>
    <row r="67" spans="23:36" ht="15" x14ac:dyDescent="0.25"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</row>
    <row r="68" spans="23:36" ht="15" x14ac:dyDescent="0.25"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</row>
    <row r="69" spans="23:36" ht="15" x14ac:dyDescent="0.25"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</row>
    <row r="70" spans="23:36" ht="15" x14ac:dyDescent="0.25"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</row>
    <row r="71" spans="23:36" ht="15" x14ac:dyDescent="0.25"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</row>
    <row r="72" spans="23:36" ht="15" x14ac:dyDescent="0.25"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</row>
    <row r="73" spans="23:36" ht="15" x14ac:dyDescent="0.25"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</row>
    <row r="74" spans="23:36" ht="15" x14ac:dyDescent="0.25"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</row>
    <row r="75" spans="23:36" ht="15" x14ac:dyDescent="0.25"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</row>
    <row r="76" spans="23:36" ht="15" x14ac:dyDescent="0.25">
      <c r="AG76" s="65"/>
      <c r="AH76" s="65"/>
      <c r="AI76" s="65"/>
      <c r="AJ76" s="65"/>
    </row>
    <row r="77" spans="23:36" ht="15" x14ac:dyDescent="0.25">
      <c r="AG77" s="65"/>
      <c r="AH77" s="65"/>
      <c r="AI77" s="65"/>
      <c r="AJ77" s="65"/>
    </row>
    <row r="78" spans="23:36" ht="15" x14ac:dyDescent="0.25">
      <c r="AG78" s="65"/>
      <c r="AH78" s="65"/>
      <c r="AI78" s="65"/>
      <c r="AJ78" s="65"/>
    </row>
    <row r="79" spans="23:36" ht="15" x14ac:dyDescent="0.25">
      <c r="AG79" s="65"/>
      <c r="AH79" s="65"/>
      <c r="AI79" s="65"/>
      <c r="AJ79" s="65"/>
    </row>
    <row r="80" spans="23:36" ht="15" x14ac:dyDescent="0.25">
      <c r="AG80" s="65"/>
      <c r="AH80" s="65"/>
      <c r="AI80" s="65"/>
      <c r="AJ80" s="65"/>
    </row>
    <row r="81" spans="33:36" ht="15" x14ac:dyDescent="0.25">
      <c r="AG81" s="65"/>
      <c r="AH81" s="65"/>
      <c r="AI81" s="65"/>
      <c r="AJ81" s="65"/>
    </row>
    <row r="82" spans="33:36" ht="15" x14ac:dyDescent="0.25">
      <c r="AG82" s="65"/>
      <c r="AH82" s="65"/>
      <c r="AI82" s="65"/>
      <c r="AJ82" s="65"/>
    </row>
    <row r="83" spans="33:36" ht="15" x14ac:dyDescent="0.25">
      <c r="AG83" s="65"/>
      <c r="AH83" s="65"/>
      <c r="AI83" s="65"/>
      <c r="AJ83" s="65"/>
    </row>
    <row r="84" spans="33:36" ht="15" x14ac:dyDescent="0.25">
      <c r="AG84" s="65"/>
      <c r="AH84" s="65"/>
      <c r="AI84" s="65"/>
      <c r="AJ84" s="65"/>
    </row>
    <row r="85" spans="33:36" ht="15" x14ac:dyDescent="0.25">
      <c r="AG85" s="65"/>
      <c r="AH85" s="65"/>
      <c r="AI85" s="65"/>
      <c r="AJ85" s="65"/>
    </row>
    <row r="86" spans="33:36" ht="15" x14ac:dyDescent="0.25">
      <c r="AG86" s="65"/>
      <c r="AH86" s="65"/>
      <c r="AI86" s="65"/>
      <c r="AJ86" s="65"/>
    </row>
    <row r="87" spans="33:36" ht="15" x14ac:dyDescent="0.25">
      <c r="AG87" s="65"/>
      <c r="AH87" s="65"/>
      <c r="AI87" s="65"/>
      <c r="AJ87" s="65"/>
    </row>
    <row r="88" spans="33:36" ht="15" x14ac:dyDescent="0.25">
      <c r="AG88" s="65"/>
      <c r="AH88" s="65"/>
      <c r="AI88" s="65"/>
      <c r="AJ88" s="65"/>
    </row>
    <row r="89" spans="33:36" ht="15" x14ac:dyDescent="0.25">
      <c r="AG89" s="65"/>
      <c r="AH89" s="65"/>
      <c r="AI89" s="65"/>
      <c r="AJ89" s="65"/>
    </row>
    <row r="90" spans="33:36" ht="15" x14ac:dyDescent="0.25">
      <c r="AG90" s="65"/>
      <c r="AH90" s="65"/>
      <c r="AI90" s="65"/>
      <c r="AJ90" s="65"/>
    </row>
    <row r="91" spans="33:36" ht="15" x14ac:dyDescent="0.25">
      <c r="AG91" s="65"/>
      <c r="AH91" s="65"/>
      <c r="AI91" s="65"/>
      <c r="AJ91" s="65"/>
    </row>
    <row r="92" spans="33:36" ht="15" x14ac:dyDescent="0.25">
      <c r="AG92" s="65"/>
      <c r="AH92" s="65"/>
      <c r="AI92" s="65"/>
      <c r="AJ92" s="65"/>
    </row>
    <row r="93" spans="33:36" ht="15" x14ac:dyDescent="0.25">
      <c r="AG93" s="65"/>
      <c r="AH93" s="65"/>
      <c r="AI93" s="65"/>
      <c r="AJ93" s="65"/>
    </row>
    <row r="94" spans="33:36" ht="15" x14ac:dyDescent="0.25">
      <c r="AG94" s="65"/>
      <c r="AH94" s="65"/>
      <c r="AI94" s="65"/>
      <c r="AJ94" s="65"/>
    </row>
    <row r="95" spans="33:36" ht="15" x14ac:dyDescent="0.25">
      <c r="AG95" s="65"/>
      <c r="AH95" s="65"/>
      <c r="AI95" s="65"/>
      <c r="AJ95" s="65"/>
    </row>
    <row r="96" spans="33:36" ht="15" x14ac:dyDescent="0.25">
      <c r="AG96" s="65"/>
      <c r="AH96" s="65"/>
      <c r="AI96" s="65"/>
      <c r="AJ96" s="65"/>
    </row>
    <row r="97" spans="20:36" ht="15" x14ac:dyDescent="0.25">
      <c r="AG97" s="65"/>
      <c r="AH97" s="65"/>
      <c r="AI97" s="65"/>
      <c r="AJ97" s="65"/>
    </row>
    <row r="98" spans="20:36" ht="15" x14ac:dyDescent="0.25">
      <c r="AG98" s="65"/>
      <c r="AH98" s="65"/>
      <c r="AI98" s="65"/>
      <c r="AJ98" s="65"/>
    </row>
    <row r="99" spans="20:36" ht="15" x14ac:dyDescent="0.25">
      <c r="AG99" s="65"/>
      <c r="AH99" s="65"/>
      <c r="AI99" s="65"/>
      <c r="AJ99" s="65"/>
    </row>
    <row r="100" spans="20:36" ht="15" x14ac:dyDescent="0.25">
      <c r="AG100" s="65"/>
      <c r="AH100" s="65"/>
      <c r="AI100" s="65"/>
      <c r="AJ100" s="65"/>
    </row>
    <row r="101" spans="20:36" ht="15" x14ac:dyDescent="0.25">
      <c r="AG101" s="65"/>
      <c r="AH101" s="65"/>
      <c r="AI101" s="65"/>
      <c r="AJ101" s="65"/>
    </row>
    <row r="104" spans="20:36" x14ac:dyDescent="0.2">
      <c r="T104" t="s">
        <v>32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R68"/>
  <sheetViews>
    <sheetView topLeftCell="A41" zoomScale="80" zoomScaleNormal="80" workbookViewId="0">
      <selection activeCell="T72" sqref="T72"/>
    </sheetView>
  </sheetViews>
  <sheetFormatPr defaultRowHeight="12.75" x14ac:dyDescent="0.2"/>
  <cols>
    <col min="18" max="18" width="12.42578125" bestFit="1" customWidth="1"/>
  </cols>
  <sheetData>
    <row r="8" spans="18:18" x14ac:dyDescent="0.2">
      <c r="R8" s="6"/>
    </row>
    <row r="9" spans="18:18" x14ac:dyDescent="0.2">
      <c r="R9" s="6">
        <v>9.9472566371681425E-13</v>
      </c>
    </row>
    <row r="10" spans="18:18" x14ac:dyDescent="0.2">
      <c r="R10" s="6">
        <v>2.1468915662650604E-12</v>
      </c>
    </row>
    <row r="11" spans="18:18" x14ac:dyDescent="0.2">
      <c r="R11" s="6">
        <v>4.6070588235294119E-12</v>
      </c>
    </row>
    <row r="12" spans="18:18" x14ac:dyDescent="0.2">
      <c r="R12" s="6">
        <v>8.4152727272727263E-12</v>
      </c>
    </row>
    <row r="13" spans="18:18" x14ac:dyDescent="0.2">
      <c r="R13" s="6">
        <v>1.3350545454545454E-11</v>
      </c>
    </row>
    <row r="14" spans="18:18" x14ac:dyDescent="0.2">
      <c r="R14" s="6">
        <v>2.1386181818181817E-11</v>
      </c>
    </row>
    <row r="18" spans="1:18" x14ac:dyDescent="0.2">
      <c r="A18" t="s">
        <v>0</v>
      </c>
      <c r="C18" t="s">
        <v>1</v>
      </c>
    </row>
    <row r="19" spans="1:18" x14ac:dyDescent="0.2">
      <c r="A19" t="s">
        <v>3</v>
      </c>
      <c r="B19" t="s">
        <v>4</v>
      </c>
      <c r="N19" s="64" t="s">
        <v>0</v>
      </c>
      <c r="O19" s="64" t="s">
        <v>2</v>
      </c>
      <c r="Q19" s="64" t="s">
        <v>0</v>
      </c>
      <c r="R19" s="64" t="s">
        <v>2</v>
      </c>
    </row>
    <row r="20" spans="1:18" x14ac:dyDescent="0.2">
      <c r="A20" s="6"/>
      <c r="B20" s="6">
        <v>0</v>
      </c>
      <c r="C20" s="14">
        <v>0.01</v>
      </c>
      <c r="D20" s="14">
        <v>0.03</v>
      </c>
      <c r="E20" s="14">
        <v>0.05</v>
      </c>
      <c r="F20" s="14">
        <v>0.1</v>
      </c>
      <c r="G20" s="14" t="s">
        <v>7</v>
      </c>
      <c r="H20" s="1" t="s">
        <v>5</v>
      </c>
      <c r="N20" s="14">
        <v>0.05</v>
      </c>
      <c r="O20" s="9">
        <v>0.05</v>
      </c>
      <c r="Q20" s="14">
        <v>0.1</v>
      </c>
      <c r="R20" s="9">
        <v>0.1</v>
      </c>
    </row>
    <row r="21" spans="1:18" x14ac:dyDescent="0.2">
      <c r="A21">
        <f>1000*0.00341296928327645</f>
        <v>3.4129692832764502</v>
      </c>
      <c r="B21">
        <v>-25.372865824962158</v>
      </c>
      <c r="C21">
        <v>-25.512699463965799</v>
      </c>
      <c r="D21">
        <v>-25.644174693168807</v>
      </c>
      <c r="E21">
        <v>-25.858444466117266</v>
      </c>
      <c r="F21">
        <v>-26.367836451970767</v>
      </c>
      <c r="G21">
        <v>-27.017241870752176</v>
      </c>
      <c r="H21">
        <f>LN(1.31962831858407E-12)</f>
        <v>-27.353670995810717</v>
      </c>
      <c r="N21" s="64">
        <v>-25.858444466117266</v>
      </c>
      <c r="O21" s="64">
        <v>-26.03771258542433</v>
      </c>
      <c r="Q21" s="64">
        <v>-26.367836451970767</v>
      </c>
      <c r="R21" s="64">
        <v>-26.559437499648357</v>
      </c>
    </row>
    <row r="22" spans="1:18" x14ac:dyDescent="0.2">
      <c r="A22">
        <f>1000*0.0033003300330033</f>
        <v>3.3003300330032999</v>
      </c>
      <c r="B22">
        <v>-24.854528260040315</v>
      </c>
      <c r="C22">
        <v>-24.812026020874612</v>
      </c>
      <c r="D22">
        <v>-24.975551587237089</v>
      </c>
      <c r="E22">
        <v>-25.139883916389913</v>
      </c>
      <c r="F22">
        <v>-25.624396713219511</v>
      </c>
      <c r="G22">
        <v>-26.121359340858373</v>
      </c>
      <c r="H22">
        <f>LN(2.89222489959839E-12)</f>
        <v>-26.568995048542799</v>
      </c>
      <c r="N22" s="64">
        <v>-25.139883916389913</v>
      </c>
      <c r="O22" s="64">
        <v>-25.308633395638324</v>
      </c>
      <c r="Q22" s="64">
        <v>-25.624396713219511</v>
      </c>
      <c r="R22" s="64">
        <v>-25.80970284445895</v>
      </c>
    </row>
    <row r="23" spans="1:18" x14ac:dyDescent="0.2">
      <c r="A23">
        <f>1000*0.00319488817891374</f>
        <v>3.19488817891374</v>
      </c>
      <c r="B23">
        <v>-24.213839041591374</v>
      </c>
      <c r="C23">
        <v>-24.226274484755251</v>
      </c>
      <c r="D23">
        <v>-24.400612055246675</v>
      </c>
      <c r="E23">
        <v>-24.607754742181239</v>
      </c>
      <c r="F23">
        <v>-25.004783706693491</v>
      </c>
      <c r="G23">
        <v>-25.468426324715018</v>
      </c>
      <c r="H23">
        <f>LN(6.0412862745098E-12)</f>
        <v>-25.832404167298524</v>
      </c>
      <c r="N23" s="64">
        <v>-24.607754742181239</v>
      </c>
      <c r="O23" s="64">
        <v>-24.751822658630509</v>
      </c>
      <c r="Q23" s="64">
        <v>-25.004783706693491</v>
      </c>
      <c r="R23" s="64">
        <v>-25.180016017816229</v>
      </c>
    </row>
    <row r="24" spans="1:18" x14ac:dyDescent="0.2">
      <c r="A24">
        <f>1000*0.00309597523219814</f>
        <v>3.09597523219814</v>
      </c>
      <c r="B24">
        <v>-23.802701246749642</v>
      </c>
      <c r="C24">
        <v>-23.794548147571135</v>
      </c>
      <c r="D24">
        <v>-23.941725081929395</v>
      </c>
      <c r="E24">
        <v>-24.134261061088676</v>
      </c>
      <c r="F24">
        <v>-24.507922246454115</v>
      </c>
      <c r="G24">
        <v>-24.919975405846539</v>
      </c>
      <c r="H24">
        <f>LN(1.11623636363636E-11)</f>
        <v>-25.218473386027775</v>
      </c>
      <c r="N24" s="64">
        <v>-24.134261061088676</v>
      </c>
      <c r="O24" s="64">
        <v>-24.267179520810163</v>
      </c>
      <c r="Q24" s="64">
        <v>-24.507922246454115</v>
      </c>
      <c r="R24" s="64">
        <v>-24.676110836894811</v>
      </c>
    </row>
    <row r="25" spans="1:18" x14ac:dyDescent="0.2">
      <c r="A25">
        <f>1000*0.003003003003003</f>
        <v>3.0030030030030002</v>
      </c>
      <c r="B25">
        <v>-23.343766805729107</v>
      </c>
      <c r="C25">
        <v>-23.440558619415555</v>
      </c>
      <c r="D25">
        <v>-23.600356184536661</v>
      </c>
      <c r="E25">
        <v>-23.668209943668298</v>
      </c>
      <c r="F25">
        <v>-24.048335858221016</v>
      </c>
      <c r="G25">
        <v>-24.44184877043379</v>
      </c>
      <c r="H25">
        <f>LN(1.83139393939394E-11)</f>
        <v>-24.723358630523389</v>
      </c>
      <c r="N25" s="64">
        <v>-23.668209943668298</v>
      </c>
      <c r="O25" s="64">
        <v>-23.785137913004949</v>
      </c>
      <c r="Q25" s="64">
        <v>-24.048335858221016</v>
      </c>
      <c r="R25" s="64">
        <v>-24.213294432315184</v>
      </c>
    </row>
    <row r="26" spans="1:18" x14ac:dyDescent="0.2">
      <c r="A26">
        <f>1000*0.00291545189504373</f>
        <v>2.9154518950437298</v>
      </c>
      <c r="B26">
        <v>-22.964938976858583</v>
      </c>
      <c r="C26">
        <v>-22.996777682454749</v>
      </c>
      <c r="D26">
        <v>-23.275787736149979</v>
      </c>
      <c r="E26">
        <v>-23.241708587953866</v>
      </c>
      <c r="F26">
        <v>-23.652835908246733</v>
      </c>
      <c r="G26">
        <v>-24.021635908809095</v>
      </c>
      <c r="H26">
        <f>LN(2.78944848484848E-11)</f>
        <v>-24.30259212232319</v>
      </c>
      <c r="N26" s="64">
        <v>-23.241708587953866</v>
      </c>
      <c r="O26" s="64">
        <v>-23.357136639874369</v>
      </c>
      <c r="Q26" s="64">
        <v>-23.652835908246733</v>
      </c>
      <c r="R26" s="64">
        <v>-23.80673702480841</v>
      </c>
    </row>
    <row r="32" spans="1:18" x14ac:dyDescent="0.2">
      <c r="A32" t="s">
        <v>2</v>
      </c>
      <c r="B32" t="s">
        <v>1</v>
      </c>
    </row>
    <row r="33" spans="1:13" ht="15" x14ac:dyDescent="0.25">
      <c r="A33" t="s">
        <v>3</v>
      </c>
      <c r="B33" t="s">
        <v>4</v>
      </c>
      <c r="J33" s="65"/>
      <c r="K33" s="65"/>
      <c r="L33" s="65"/>
    </row>
    <row r="34" spans="1:13" ht="15" x14ac:dyDescent="0.25">
      <c r="A34" s="8"/>
      <c r="B34" s="9">
        <v>0</v>
      </c>
      <c r="C34" s="9">
        <v>0.01</v>
      </c>
      <c r="D34" s="9">
        <v>0.03</v>
      </c>
      <c r="E34" s="9">
        <v>0.05</v>
      </c>
      <c r="F34" s="9">
        <v>0.1</v>
      </c>
      <c r="G34" s="9" t="s">
        <v>7</v>
      </c>
      <c r="H34" s="2" t="s">
        <v>5</v>
      </c>
      <c r="J34" s="65"/>
      <c r="K34" s="65"/>
      <c r="L34" s="65"/>
      <c r="M34" s="64"/>
    </row>
    <row r="35" spans="1:13" ht="15" x14ac:dyDescent="0.25">
      <c r="A35">
        <f>0.00341296928327645*1000</f>
        <v>3.4129692832764502</v>
      </c>
      <c r="B35">
        <v>-25.587206751891863</v>
      </c>
      <c r="C35">
        <v>-25.682257897890828</v>
      </c>
      <c r="D35">
        <v>-25.808086029232044</v>
      </c>
      <c r="E35">
        <v>-26.03771258542433</v>
      </c>
      <c r="F35">
        <v>-26.559437499648357</v>
      </c>
      <c r="G35">
        <v>-27.161017486682812</v>
      </c>
      <c r="H35">
        <f t="shared" ref="H35:H40" si="0">LN(R9)</f>
        <v>-27.636309410625895</v>
      </c>
      <c r="J35" s="65"/>
      <c r="K35" s="65"/>
      <c r="L35" s="65"/>
      <c r="M35" s="64"/>
    </row>
    <row r="36" spans="1:13" ht="15" x14ac:dyDescent="0.25">
      <c r="A36">
        <f>1000*0.0033003300330033</f>
        <v>3.3003300330032999</v>
      </c>
      <c r="B36">
        <v>-25.01362528309447</v>
      </c>
      <c r="C36">
        <v>-24.963792909346594</v>
      </c>
      <c r="D36">
        <v>-25.129585164189336</v>
      </c>
      <c r="E36">
        <v>-25.308633395638324</v>
      </c>
      <c r="F36">
        <v>-25.80970284445895</v>
      </c>
      <c r="G36">
        <v>-26.311935504502106</v>
      </c>
      <c r="H36">
        <f t="shared" si="0"/>
        <v>-26.867000103074403</v>
      </c>
      <c r="J36" s="65"/>
      <c r="K36" s="65"/>
      <c r="L36" s="65"/>
      <c r="M36" s="64"/>
    </row>
    <row r="37" spans="1:13" ht="15" x14ac:dyDescent="0.25">
      <c r="A37">
        <f>1000*0.00319488817891374</f>
        <v>3.19488817891374</v>
      </c>
      <c r="B37">
        <v>-24.384530124027375</v>
      </c>
      <c r="C37">
        <v>-24.357657105776276</v>
      </c>
      <c r="D37">
        <v>-24.535443507404842</v>
      </c>
      <c r="E37">
        <v>-24.751822658630509</v>
      </c>
      <c r="F37">
        <v>-25.180016017816229</v>
      </c>
      <c r="G37">
        <v>-25.659721732868416</v>
      </c>
      <c r="H37">
        <f t="shared" si="0"/>
        <v>-26.103431461762508</v>
      </c>
      <c r="J37" s="65"/>
      <c r="K37" s="65"/>
      <c r="L37" s="65"/>
    </row>
    <row r="38" spans="1:13" x14ac:dyDescent="0.2">
      <c r="A38">
        <f>1000*0.00309597523219814</f>
        <v>3.09597523219814</v>
      </c>
      <c r="B38">
        <v>-23.97518151589281</v>
      </c>
      <c r="C38">
        <v>-23.917449049224242</v>
      </c>
      <c r="D38">
        <v>-24.069975033324496</v>
      </c>
      <c r="E38">
        <v>-24.267179520810163</v>
      </c>
      <c r="F38">
        <v>-24.676110836894811</v>
      </c>
      <c r="G38">
        <v>-25.113324643317558</v>
      </c>
      <c r="H38">
        <f t="shared" si="0"/>
        <v>-25.500972879152883</v>
      </c>
    </row>
    <row r="39" spans="1:13" x14ac:dyDescent="0.2">
      <c r="A39">
        <f>1000*0.003003003003003</f>
        <v>3.0030030030030002</v>
      </c>
      <c r="B39">
        <v>-23.448970973287341</v>
      </c>
      <c r="C39">
        <v>-23.550099574038587</v>
      </c>
      <c r="D39">
        <v>-23.685563334414166</v>
      </c>
      <c r="E39">
        <v>-23.785137913004949</v>
      </c>
      <c r="F39">
        <v>-24.213294432315184</v>
      </c>
      <c r="G39">
        <v>-24.625338511521388</v>
      </c>
      <c r="H39">
        <f t="shared" si="0"/>
        <v>-25.039463873898569</v>
      </c>
    </row>
    <row r="40" spans="1:13" x14ac:dyDescent="0.2">
      <c r="A40">
        <f>1000*0.00291545189504373</f>
        <v>2.9154518950437298</v>
      </c>
      <c r="B40">
        <v>-23.066672924460711</v>
      </c>
      <c r="C40">
        <v>-23.06980281746964</v>
      </c>
      <c r="D40">
        <v>-23.351581070029766</v>
      </c>
      <c r="E40">
        <v>-23.357136639874369</v>
      </c>
      <c r="F40">
        <v>-23.80673702480841</v>
      </c>
      <c r="G40">
        <v>-24.203506425949019</v>
      </c>
      <c r="H40">
        <f t="shared" si="0"/>
        <v>-24.568276111891617</v>
      </c>
    </row>
    <row r="55" spans="3:7" x14ac:dyDescent="0.2">
      <c r="C55" s="7"/>
      <c r="D55" s="7"/>
      <c r="E55" s="7"/>
      <c r="F55" s="7"/>
      <c r="G55" s="7"/>
    </row>
    <row r="68" spans="5:5" x14ac:dyDescent="0.2">
      <c r="E68" t="s">
        <v>31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2"/>
  <sheetViews>
    <sheetView zoomScale="70" zoomScaleNormal="70" workbookViewId="0">
      <selection activeCell="K44" sqref="K44"/>
    </sheetView>
  </sheetViews>
  <sheetFormatPr defaultRowHeight="12.75" x14ac:dyDescent="0.2"/>
  <cols>
    <col min="3" max="3" width="13.85546875" customWidth="1"/>
  </cols>
  <sheetData>
    <row r="4" spans="1:9" ht="18" x14ac:dyDescent="0.25">
      <c r="A4" s="29"/>
      <c r="B4" s="29"/>
      <c r="C4" s="29"/>
      <c r="D4" s="29"/>
      <c r="E4" s="29"/>
      <c r="F4" s="29"/>
      <c r="G4" s="29"/>
      <c r="H4" s="29"/>
      <c r="I4" s="29"/>
    </row>
    <row r="5" spans="1:9" ht="18" x14ac:dyDescent="0.25">
      <c r="A5" s="32"/>
      <c r="B5" s="32" t="s">
        <v>48</v>
      </c>
      <c r="C5" s="32" t="s">
        <v>56</v>
      </c>
      <c r="D5" s="32"/>
      <c r="E5" s="32"/>
      <c r="F5" s="32"/>
      <c r="G5" s="32"/>
      <c r="H5" s="32"/>
      <c r="I5" s="29"/>
    </row>
    <row r="6" spans="1:9" ht="18" x14ac:dyDescent="0.25">
      <c r="A6" s="32" t="s">
        <v>53</v>
      </c>
      <c r="B6" s="32"/>
      <c r="C6" s="32" t="s">
        <v>54</v>
      </c>
      <c r="D6" s="32" t="s">
        <v>54</v>
      </c>
      <c r="E6" s="32" t="s">
        <v>54</v>
      </c>
      <c r="F6" s="32" t="s">
        <v>54</v>
      </c>
      <c r="G6" s="32" t="s">
        <v>54</v>
      </c>
      <c r="H6" s="32" t="s">
        <v>54</v>
      </c>
      <c r="I6" s="29"/>
    </row>
    <row r="7" spans="1:9" ht="18" x14ac:dyDescent="0.25">
      <c r="A7" s="34"/>
      <c r="B7" s="34">
        <v>0</v>
      </c>
      <c r="C7" s="34">
        <v>0.01</v>
      </c>
      <c r="D7" s="34">
        <v>0.03</v>
      </c>
      <c r="E7" s="34">
        <v>0.05</v>
      </c>
      <c r="F7" s="34">
        <v>0.1</v>
      </c>
      <c r="G7" s="34">
        <v>0.15</v>
      </c>
      <c r="H7" s="34">
        <v>0.15</v>
      </c>
      <c r="I7" s="29"/>
    </row>
    <row r="8" spans="1:9" ht="18.75" x14ac:dyDescent="0.3">
      <c r="A8" s="51">
        <v>20</v>
      </c>
      <c r="B8" s="29">
        <v>0.16427</v>
      </c>
      <c r="C8" s="52">
        <v>0.3574667368332401</v>
      </c>
      <c r="D8" s="53">
        <v>0.87624844484281006</v>
      </c>
      <c r="E8" s="53">
        <v>2.2853748434762138</v>
      </c>
      <c r="F8" s="29">
        <v>14.608311829225862</v>
      </c>
      <c r="G8" s="29">
        <v>50.892410575149512</v>
      </c>
      <c r="H8" s="29">
        <v>1207.2</v>
      </c>
      <c r="I8" s="29"/>
    </row>
    <row r="9" spans="1:9" ht="18.75" x14ac:dyDescent="0.3">
      <c r="A9" s="51">
        <v>30</v>
      </c>
      <c r="B9" s="29">
        <v>8.5741999999999999E-2</v>
      </c>
      <c r="C9" s="52">
        <v>0.19263101974099578</v>
      </c>
      <c r="D9" s="53">
        <v>0.41451177299272601</v>
      </c>
      <c r="E9" s="53">
        <v>0.97772439097249608</v>
      </c>
      <c r="F9" s="29">
        <v>5.5084227844842486</v>
      </c>
      <c r="G9" s="29">
        <v>16.01220205014933</v>
      </c>
      <c r="H9" s="29">
        <v>393.78</v>
      </c>
      <c r="I9" s="29"/>
    </row>
    <row r="10" spans="1:9" ht="18.75" x14ac:dyDescent="0.3">
      <c r="A10" s="51">
        <v>40</v>
      </c>
      <c r="B10" s="29">
        <v>5.1180000000000003E-2</v>
      </c>
      <c r="C10" s="52">
        <v>0.11200153317493158</v>
      </c>
      <c r="D10" s="53">
        <v>0.21877723239127236</v>
      </c>
      <c r="E10" s="53">
        <v>0.48529901513833712</v>
      </c>
      <c r="F10" s="29">
        <v>2.4741078679393849</v>
      </c>
      <c r="G10" s="29">
        <v>6.5260442262903844</v>
      </c>
      <c r="H10" s="29">
        <v>160.85</v>
      </c>
      <c r="I10" s="29"/>
    </row>
    <row r="11" spans="1:9" ht="18.75" x14ac:dyDescent="0.3">
      <c r="A11" s="51">
        <v>50</v>
      </c>
      <c r="B11" s="29">
        <v>3.2809999999999999E-2</v>
      </c>
      <c r="C11" s="52">
        <v>7.3410608834847235E-2</v>
      </c>
      <c r="D11" s="54">
        <v>0.12793746405579107</v>
      </c>
      <c r="E11" s="54">
        <v>0.25902365591007076</v>
      </c>
      <c r="F11" s="29">
        <v>1.2400134445920039</v>
      </c>
      <c r="G11" s="29">
        <v>3.0833951812344926</v>
      </c>
      <c r="H11" s="29">
        <v>70.3</v>
      </c>
      <c r="I11" s="29"/>
    </row>
    <row r="12" spans="1:9" ht="18.75" x14ac:dyDescent="0.3">
      <c r="A12" s="51">
        <v>60</v>
      </c>
      <c r="B12" s="29">
        <v>2.2792E-2</v>
      </c>
      <c r="C12" s="52">
        <v>5.173479190646188E-2</v>
      </c>
      <c r="D12" s="54">
        <v>7.8644843837476552E-2</v>
      </c>
      <c r="E12" s="54">
        <v>0.15713253119117634</v>
      </c>
      <c r="F12" s="29">
        <v>0.66679178085125335</v>
      </c>
      <c r="G12" s="29">
        <v>1.6182222956475214</v>
      </c>
      <c r="H12" s="29">
        <v>35.713000000000001</v>
      </c>
      <c r="I12" s="29"/>
    </row>
    <row r="13" spans="1:9" ht="18" x14ac:dyDescent="0.25">
      <c r="A13" s="29"/>
      <c r="B13" s="29"/>
      <c r="C13" s="29"/>
      <c r="D13" s="29"/>
      <c r="E13" s="29"/>
      <c r="F13" s="29"/>
      <c r="G13" s="29"/>
      <c r="H13" s="29"/>
      <c r="I13" s="29"/>
    </row>
    <row r="14" spans="1:9" ht="18" x14ac:dyDescent="0.25">
      <c r="A14" s="29" t="s">
        <v>3</v>
      </c>
      <c r="B14" s="29" t="s">
        <v>55</v>
      </c>
      <c r="C14" s="29"/>
      <c r="D14" s="29"/>
      <c r="E14" s="29"/>
      <c r="F14" s="29"/>
      <c r="G14" s="29"/>
      <c r="H14" s="29"/>
      <c r="I14" s="29"/>
    </row>
    <row r="15" spans="1:9" ht="18" x14ac:dyDescent="0.25">
      <c r="A15" s="32"/>
      <c r="B15" s="34">
        <v>0</v>
      </c>
      <c r="C15" s="36">
        <v>0.01</v>
      </c>
      <c r="D15" s="36">
        <v>0.03</v>
      </c>
      <c r="E15" s="36">
        <v>0.05</v>
      </c>
      <c r="F15" s="36">
        <v>0.1</v>
      </c>
      <c r="G15" s="36">
        <v>0.15</v>
      </c>
      <c r="H15" s="36">
        <v>0.15</v>
      </c>
      <c r="I15" s="29"/>
    </row>
    <row r="16" spans="1:9" ht="18" x14ac:dyDescent="0.25">
      <c r="A16" s="32">
        <f>1/(A8+273)*1000</f>
        <v>3.4129692832764507</v>
      </c>
      <c r="B16" s="29">
        <f t="shared" ref="B16:H16" si="0">LN(B8)</f>
        <v>-1.8062438634290285</v>
      </c>
      <c r="C16" s="29">
        <f t="shared" si="0"/>
        <v>-1.0287129650000244</v>
      </c>
      <c r="D16" s="29">
        <f t="shared" si="0"/>
        <v>-0.1321056154220048</v>
      </c>
      <c r="E16" s="29">
        <f t="shared" si="0"/>
        <v>0.82653005617720665</v>
      </c>
      <c r="F16" s="29">
        <f t="shared" si="0"/>
        <v>2.6815906700942391</v>
      </c>
      <c r="G16" s="29">
        <f t="shared" si="0"/>
        <v>3.9297138078253204</v>
      </c>
      <c r="H16" s="29">
        <f t="shared" si="0"/>
        <v>7.0960589074536395</v>
      </c>
      <c r="I16" s="29"/>
    </row>
    <row r="17" spans="1:9" ht="18" x14ac:dyDescent="0.25">
      <c r="A17" s="32">
        <f>1/(A9+273)*1000</f>
        <v>3.3003300330033003</v>
      </c>
      <c r="B17" s="29">
        <f t="shared" ref="B17:B20" si="1">LN(B9)</f>
        <v>-2.4564124917489281</v>
      </c>
      <c r="C17" s="29">
        <f t="shared" ref="C17:H20" si="2">LN(C9)</f>
        <v>-1.646978734741281</v>
      </c>
      <c r="D17" s="29">
        <f t="shared" si="2"/>
        <v>-0.88065390193263604</v>
      </c>
      <c r="E17" s="29">
        <f t="shared" si="2"/>
        <v>-2.2527457484465965E-2</v>
      </c>
      <c r="F17" s="29">
        <f t="shared" si="2"/>
        <v>1.7062783361784961</v>
      </c>
      <c r="G17" s="29">
        <f t="shared" si="2"/>
        <v>2.7733510597210427</v>
      </c>
      <c r="H17" s="29">
        <f t="shared" si="2"/>
        <v>5.9757923777136863</v>
      </c>
      <c r="I17" s="29"/>
    </row>
    <row r="18" spans="1:9" ht="18" x14ac:dyDescent="0.25">
      <c r="A18" s="32">
        <f>1/(A10+273)*1000</f>
        <v>3.1948881789137378</v>
      </c>
      <c r="B18" s="29">
        <f t="shared" si="1"/>
        <v>-2.9724064482504944</v>
      </c>
      <c r="C18" s="29">
        <f t="shared" si="2"/>
        <v>-2.1892427187188477</v>
      </c>
      <c r="D18" s="29">
        <f t="shared" si="2"/>
        <v>-1.5197012705612354</v>
      </c>
      <c r="E18" s="29">
        <f t="shared" si="2"/>
        <v>-0.7229900519603385</v>
      </c>
      <c r="F18" s="29">
        <f t="shared" si="2"/>
        <v>0.9058798736420417</v>
      </c>
      <c r="G18" s="29">
        <f t="shared" si="2"/>
        <v>1.8758009750850924</v>
      </c>
      <c r="H18" s="29">
        <f>LN(H10)</f>
        <v>5.0804722536850351</v>
      </c>
      <c r="I18" s="29"/>
    </row>
    <row r="19" spans="1:9" ht="18" x14ac:dyDescent="0.25">
      <c r="A19" s="32">
        <f>1/(A11+273)*1000</f>
        <v>3.0959752321981426</v>
      </c>
      <c r="B19" s="29">
        <f t="shared" si="1"/>
        <v>-3.4170219320091269</v>
      </c>
      <c r="C19" s="29">
        <f t="shared" si="2"/>
        <v>-2.6116868192710734</v>
      </c>
      <c r="D19" s="29">
        <f t="shared" si="2"/>
        <v>-2.0562136965119837</v>
      </c>
      <c r="E19" s="29">
        <f t="shared" si="2"/>
        <v>-1.3508358858933189</v>
      </c>
      <c r="F19" s="29">
        <f t="shared" si="2"/>
        <v>0.21512222197107334</v>
      </c>
      <c r="G19" s="29">
        <f t="shared" si="2"/>
        <v>1.1260313214338038</v>
      </c>
      <c r="H19" s="29">
        <f t="shared" si="2"/>
        <v>4.2527717988166192</v>
      </c>
      <c r="I19" s="29"/>
    </row>
    <row r="20" spans="1:9" ht="18" x14ac:dyDescent="0.25">
      <c r="A20" s="32">
        <f>1/(A12+273)*1000</f>
        <v>3.0030030030030028</v>
      </c>
      <c r="B20" s="29">
        <f t="shared" si="1"/>
        <v>-3.7813456817865299</v>
      </c>
      <c r="C20" s="29">
        <f t="shared" si="2"/>
        <v>-2.9616247662303672</v>
      </c>
      <c r="D20" s="29">
        <f t="shared" si="2"/>
        <v>-2.542813209955225</v>
      </c>
      <c r="E20" s="29">
        <f t="shared" si="2"/>
        <v>-1.8506656820116296</v>
      </c>
      <c r="F20" s="29">
        <f t="shared" si="2"/>
        <v>-0.40527745443933544</v>
      </c>
      <c r="G20" s="29">
        <f t="shared" si="2"/>
        <v>0.48132819835101853</v>
      </c>
      <c r="H20" s="29">
        <f t="shared" si="2"/>
        <v>3.5755147681589174</v>
      </c>
      <c r="I20" s="29"/>
    </row>
    <row r="21" spans="1:9" ht="18" x14ac:dyDescent="0.25">
      <c r="A21" s="29"/>
      <c r="B21" s="29"/>
      <c r="C21" s="29"/>
      <c r="D21" s="29"/>
      <c r="E21" s="29"/>
      <c r="F21" s="29"/>
      <c r="G21" s="29"/>
      <c r="H21" s="29"/>
      <c r="I21" s="29"/>
    </row>
    <row r="22" spans="1:9" ht="18" x14ac:dyDescent="0.25">
      <c r="A22" s="29"/>
      <c r="B22" s="29"/>
      <c r="C22" s="29"/>
      <c r="D22" s="29"/>
      <c r="E22" s="29"/>
      <c r="F22" s="29"/>
      <c r="G22" s="29"/>
      <c r="H22" s="29"/>
      <c r="I22" s="29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"/>
  <sheetViews>
    <sheetView zoomScaleNormal="100" workbookViewId="0">
      <selection activeCell="K5" sqref="K5"/>
    </sheetView>
  </sheetViews>
  <sheetFormatPr defaultRowHeight="12.75" x14ac:dyDescent="0.2"/>
  <sheetData>
    <row r="2" spans="1:10" x14ac:dyDescent="0.2">
      <c r="B2" t="s">
        <v>37</v>
      </c>
      <c r="H2" t="s">
        <v>134</v>
      </c>
      <c r="I2" t="s">
        <v>16</v>
      </c>
    </row>
    <row r="3" spans="1:10" x14ac:dyDescent="0.2">
      <c r="A3" s="8" t="s">
        <v>33</v>
      </c>
      <c r="B3" s="8" t="s">
        <v>34</v>
      </c>
      <c r="C3" s="8" t="s">
        <v>35</v>
      </c>
      <c r="D3" s="8"/>
      <c r="E3" s="8"/>
      <c r="F3" s="8"/>
      <c r="G3" s="8"/>
    </row>
    <row r="4" spans="1:10" x14ac:dyDescent="0.2">
      <c r="A4" s="8"/>
      <c r="B4" s="12">
        <v>0</v>
      </c>
      <c r="C4" s="12">
        <v>0.01</v>
      </c>
      <c r="D4" s="12">
        <v>0.03</v>
      </c>
      <c r="E4" s="12">
        <v>0.05</v>
      </c>
      <c r="F4" s="12">
        <v>0.1</v>
      </c>
      <c r="G4" s="12">
        <v>0.15</v>
      </c>
      <c r="H4" t="s">
        <v>132</v>
      </c>
      <c r="I4" t="s">
        <v>133</v>
      </c>
    </row>
    <row r="5" spans="1:10" x14ac:dyDescent="0.2">
      <c r="A5">
        <v>20</v>
      </c>
      <c r="B5" s="13">
        <v>0.80707318513076509</v>
      </c>
      <c r="C5" s="13">
        <v>0.84403743261928155</v>
      </c>
      <c r="D5" s="13">
        <v>0.84881727802536866</v>
      </c>
      <c r="E5" s="13">
        <v>0.83588175331294601</v>
      </c>
      <c r="F5" s="13">
        <v>0.82563619227144214</v>
      </c>
      <c r="G5" s="13">
        <v>0.86608206127530563</v>
      </c>
      <c r="H5">
        <v>0.84650772138125874</v>
      </c>
      <c r="I5">
        <v>0.75379229871645281</v>
      </c>
    </row>
    <row r="6" spans="1:10" x14ac:dyDescent="0.2">
      <c r="A6">
        <v>30</v>
      </c>
      <c r="B6" s="13">
        <v>0.85291360267190108</v>
      </c>
      <c r="C6" s="13">
        <v>0.85918854415274448</v>
      </c>
      <c r="D6" s="13">
        <v>0.85724323691298754</v>
      </c>
      <c r="E6" s="13">
        <v>0.84472049689440998</v>
      </c>
      <c r="F6" s="13">
        <v>0.83084989580765878</v>
      </c>
      <c r="G6" s="13">
        <v>0.82648280738972857</v>
      </c>
      <c r="H6">
        <v>0.85574272588055122</v>
      </c>
      <c r="I6">
        <v>0.74229758777167432</v>
      </c>
      <c r="J6" s="64"/>
    </row>
    <row r="7" spans="1:10" x14ac:dyDescent="0.2">
      <c r="A7">
        <v>40</v>
      </c>
      <c r="B7" s="13">
        <v>0.84308197607838165</v>
      </c>
      <c r="C7" s="13">
        <v>0.87688219663418976</v>
      </c>
      <c r="D7" s="13">
        <v>0.87386318703044685</v>
      </c>
      <c r="E7" s="13">
        <v>0.86582894203486016</v>
      </c>
      <c r="F7" s="13">
        <v>0.83926202821656815</v>
      </c>
      <c r="G7" s="13">
        <v>0.82588857789195202</v>
      </c>
      <c r="H7">
        <v>0.86378737541528228</v>
      </c>
      <c r="I7">
        <v>0.76259568148063517</v>
      </c>
      <c r="J7" s="64"/>
    </row>
    <row r="8" spans="1:10" x14ac:dyDescent="0.2">
      <c r="A8">
        <v>50</v>
      </c>
      <c r="B8" s="13">
        <v>0.8415748936416978</v>
      </c>
      <c r="C8" s="13">
        <v>0.88435129597009032</v>
      </c>
      <c r="D8" s="13">
        <v>0.87963348604748015</v>
      </c>
      <c r="E8" s="13">
        <v>0.87553648068669532</v>
      </c>
      <c r="F8" s="13">
        <v>0.84519442406456335</v>
      </c>
      <c r="G8" s="13">
        <v>0.82419408441342634</v>
      </c>
      <c r="H8">
        <v>0.87927160931772508</v>
      </c>
      <c r="I8">
        <v>0.75389702409069437</v>
      </c>
      <c r="J8" s="64"/>
    </row>
    <row r="9" spans="1:10" x14ac:dyDescent="0.2">
      <c r="A9">
        <v>60</v>
      </c>
      <c r="B9" s="13">
        <v>0.90014072429033187</v>
      </c>
      <c r="C9" s="13">
        <v>0.89624545821558343</v>
      </c>
      <c r="D9" s="13">
        <v>0.9183220344000711</v>
      </c>
      <c r="E9" s="13">
        <v>0.88964927288280593</v>
      </c>
      <c r="F9" s="13">
        <v>0.84792882958020566</v>
      </c>
      <c r="G9" s="13">
        <v>0.83236041480667522</v>
      </c>
      <c r="H9">
        <v>0.88653617724526168</v>
      </c>
      <c r="I9">
        <v>0.72898272552783117</v>
      </c>
      <c r="J9" s="64"/>
    </row>
    <row r="10" spans="1:10" x14ac:dyDescent="0.2">
      <c r="A10">
        <v>70</v>
      </c>
      <c r="B10" s="13">
        <v>0.90326983680924944</v>
      </c>
      <c r="C10" s="13">
        <v>0.92957746478873249</v>
      </c>
      <c r="D10" s="13">
        <v>0.92700776786287464</v>
      </c>
      <c r="E10" s="13">
        <v>0.89098467456722719</v>
      </c>
      <c r="F10" s="13">
        <v>0.85735679520778729</v>
      </c>
      <c r="G10" s="13">
        <v>0.83370928448975901</v>
      </c>
      <c r="H10">
        <v>0.91595027112815763</v>
      </c>
      <c r="I10">
        <v>0.76668136853380386</v>
      </c>
      <c r="J10" s="64"/>
    </row>
    <row r="11" spans="1:10" x14ac:dyDescent="0.2">
      <c r="A11" t="s">
        <v>36</v>
      </c>
      <c r="B11" s="1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zoomScaleNormal="100" workbookViewId="0">
      <selection activeCell="N5" sqref="N5"/>
    </sheetView>
  </sheetViews>
  <sheetFormatPr defaultRowHeight="12.75" x14ac:dyDescent="0.2"/>
  <sheetData>
    <row r="1" spans="1:18" ht="27" x14ac:dyDescent="0.3">
      <c r="G1" s="55" t="s">
        <v>95</v>
      </c>
      <c r="H1" s="39" t="s">
        <v>96</v>
      </c>
      <c r="I1" s="63" t="s">
        <v>97</v>
      </c>
      <c r="J1" s="63"/>
      <c r="M1" t="s">
        <v>92</v>
      </c>
    </row>
    <row r="2" spans="1:18" x14ac:dyDescent="0.2">
      <c r="B2" s="8" t="s">
        <v>8</v>
      </c>
      <c r="C2" s="8" t="s">
        <v>13</v>
      </c>
      <c r="D2" s="15" t="s">
        <v>8</v>
      </c>
      <c r="E2" s="15" t="s">
        <v>9</v>
      </c>
      <c r="F2" s="6"/>
      <c r="G2" s="6" t="s">
        <v>8</v>
      </c>
      <c r="H2" s="6"/>
      <c r="I2" s="6" t="s">
        <v>9</v>
      </c>
      <c r="J2" s="6"/>
      <c r="K2" s="6"/>
      <c r="M2" s="68" t="s">
        <v>8</v>
      </c>
      <c r="N2" s="68"/>
      <c r="O2" s="68" t="s">
        <v>9</v>
      </c>
      <c r="P2" s="68"/>
    </row>
    <row r="3" spans="1:18" x14ac:dyDescent="0.2">
      <c r="A3" s="5"/>
      <c r="B3" s="8" t="s">
        <v>11</v>
      </c>
      <c r="C3" s="8" t="s">
        <v>11</v>
      </c>
      <c r="D3" s="15" t="s">
        <v>12</v>
      </c>
      <c r="E3" s="15" t="s">
        <v>12</v>
      </c>
      <c r="F3" s="6"/>
      <c r="G3" s="6" t="s">
        <v>19</v>
      </c>
      <c r="H3" s="6" t="s">
        <v>20</v>
      </c>
      <c r="I3" s="6" t="s">
        <v>19</v>
      </c>
      <c r="J3" s="6" t="s">
        <v>20</v>
      </c>
      <c r="K3" s="6"/>
      <c r="M3" s="68" t="s">
        <v>19</v>
      </c>
      <c r="N3" s="68" t="s">
        <v>20</v>
      </c>
      <c r="O3" s="68" t="s">
        <v>19</v>
      </c>
      <c r="P3" s="68" t="s">
        <v>20</v>
      </c>
    </row>
    <row r="4" spans="1:18" x14ac:dyDescent="0.2">
      <c r="A4" s="16">
        <v>0</v>
      </c>
      <c r="B4">
        <f>40647.8473717006/1000</f>
        <v>40.6478473717006</v>
      </c>
      <c r="C4" s="13">
        <f>40647.8473717006/1000</f>
        <v>40.6478473717006</v>
      </c>
      <c r="D4">
        <f>42366.9992380268/1000</f>
        <v>42.3669992380268</v>
      </c>
      <c r="E4">
        <f>42380.433421008/1000</f>
        <v>42.380433421008</v>
      </c>
      <c r="G4" s="56">
        <f>0.0248062668142251</f>
        <v>2.4806266814225101E-2</v>
      </c>
      <c r="H4" s="56">
        <f>0.021745</f>
        <v>2.1745E-2</v>
      </c>
      <c r="I4" s="64">
        <f>0.0248062668142251</f>
        <v>2.4806266814225101E-2</v>
      </c>
      <c r="J4" s="64">
        <f>0.0221788829156361</f>
        <v>2.2178882915636099E-2</v>
      </c>
      <c r="M4" s="67">
        <f>G4*B4</f>
        <v>1.0083213473263035</v>
      </c>
      <c r="N4" s="67">
        <f>H4*C4</f>
        <v>0.88388744109762951</v>
      </c>
      <c r="O4" s="63">
        <f t="shared" ref="O4:P4" si="0">I4*D4</f>
        <v>1.0509670872165644</v>
      </c>
      <c r="P4" s="63">
        <f t="shared" si="0"/>
        <v>0.93995067075844752</v>
      </c>
      <c r="Q4" s="64"/>
      <c r="R4" s="64"/>
    </row>
    <row r="5" spans="1:18" x14ac:dyDescent="0.2">
      <c r="A5" s="17">
        <v>0.01</v>
      </c>
      <c r="B5">
        <f>41071.0566914768/1000</f>
        <v>41.071056691476798</v>
      </c>
      <c r="C5" s="13">
        <f>40197.5272660913/1000</f>
        <v>40.197527266091306</v>
      </c>
      <c r="D5">
        <f>42538.4750617778/1000</f>
        <v>42.538475061777795</v>
      </c>
      <c r="E5">
        <f>41426.3156701542/1000</f>
        <v>41.426315670154203</v>
      </c>
      <c r="G5" s="56">
        <f>0.0429101410730888</f>
        <v>4.2910141073088798E-2</v>
      </c>
      <c r="H5" s="56">
        <f>0.0412242824187687</f>
        <v>4.1224282418768701E-2</v>
      </c>
      <c r="I5" s="64">
        <f>0.0178100204852368</f>
        <v>1.7810020485236801E-2</v>
      </c>
      <c r="J5" s="64">
        <f>0.0167962918942746</f>
        <v>1.67962918942746E-2</v>
      </c>
      <c r="M5" s="67">
        <f t="shared" ref="M5:M8" si="1">G5*B5</f>
        <v>1.762364836652097</v>
      </c>
      <c r="N5" s="67">
        <f t="shared" ref="N5:N9" si="2">H5*C5</f>
        <v>1.6571142165535033</v>
      </c>
      <c r="O5" s="63">
        <f t="shared" ref="O5:O9" si="3">I5*D5</f>
        <v>0.75761111226099731</v>
      </c>
      <c r="P5" s="63">
        <f t="shared" ref="P5:P9" si="4">J5*E5</f>
        <v>0.6958084901002719</v>
      </c>
      <c r="Q5" s="64"/>
      <c r="R5" s="64"/>
    </row>
    <row r="6" spans="1:18" x14ac:dyDescent="0.2">
      <c r="A6" s="17">
        <v>0.03</v>
      </c>
      <c r="B6">
        <f>39445.0366944162/1000</f>
        <v>39.445036694416203</v>
      </c>
      <c r="C6" s="13">
        <f>40093.4026513755/1000</f>
        <v>40.093402651375499</v>
      </c>
      <c r="D6">
        <f>40994.5366753337/1000</f>
        <v>40.994536675333698</v>
      </c>
      <c r="E6">
        <f>40909.4392070706/1000</f>
        <v>40.909439207070605</v>
      </c>
      <c r="G6" s="56">
        <f>0.0511558504105223</f>
        <v>5.1155850410522299E-2</v>
      </c>
      <c r="H6" s="56">
        <f>0.0455722294668228</f>
        <v>4.5572229466822801E-2</v>
      </c>
      <c r="I6" s="64">
        <f>0.0233480249235616</f>
        <v>2.3348024923561601E-2</v>
      </c>
      <c r="J6" s="64">
        <f>0.0279707444301096</f>
        <v>2.7970744430109599E-2</v>
      </c>
      <c r="M6" s="67">
        <f t="shared" si="1"/>
        <v>2.0178443965771184</v>
      </c>
      <c r="N6" s="67">
        <f t="shared" si="2"/>
        <v>1.827145745734206</v>
      </c>
      <c r="O6" s="63">
        <f t="shared" si="3"/>
        <v>0.95714146402555134</v>
      </c>
      <c r="P6" s="63">
        <f t="shared" si="4"/>
        <v>1.1442674688400774</v>
      </c>
      <c r="Q6" s="64"/>
      <c r="R6" s="64"/>
    </row>
    <row r="7" spans="1:18" x14ac:dyDescent="0.2">
      <c r="A7" s="17">
        <v>0.05</v>
      </c>
      <c r="B7">
        <f>43040.197524419/1000</f>
        <v>43.040197524419007</v>
      </c>
      <c r="C7" s="13">
        <f>39854.7936311999/1000</f>
        <v>39.854793631199897</v>
      </c>
      <c r="D7">
        <f>44206.6440229538/1000</f>
        <v>44.206644022953796</v>
      </c>
      <c r="E7">
        <f>40492.4736148793/1000</f>
        <v>40.492473614879302</v>
      </c>
      <c r="G7" s="56">
        <f>0.0261754563650805</f>
        <v>2.61754563650805E-2</v>
      </c>
      <c r="H7" s="56">
        <f>0.0257520601333631</f>
        <v>2.5752060133363099E-2</v>
      </c>
      <c r="I7" s="64">
        <f>0.0249666537262696</f>
        <v>2.4966653726269598E-2</v>
      </c>
      <c r="J7" s="64">
        <f>0.0245129437372465</f>
        <v>2.4512943737246499E-2</v>
      </c>
      <c r="M7" s="67">
        <f t="shared" si="1"/>
        <v>1.1265968122448755</v>
      </c>
      <c r="N7" s="67">
        <f t="shared" si="2"/>
        <v>1.0263430421934363</v>
      </c>
      <c r="O7" s="63">
        <f t="shared" si="3"/>
        <v>1.1036919737215531</v>
      </c>
      <c r="P7" s="63">
        <f t="shared" si="4"/>
        <v>0.99258972750347463</v>
      </c>
      <c r="Q7" s="64"/>
      <c r="R7" s="64"/>
    </row>
    <row r="8" spans="1:18" x14ac:dyDescent="0.2">
      <c r="A8" s="17">
        <v>0.1</v>
      </c>
      <c r="B8">
        <f>45079.3340385047/1000</f>
        <v>45.079334038504697</v>
      </c>
      <c r="C8" s="13">
        <f>44603.4680018091/1000</f>
        <v>44.603468001809105</v>
      </c>
      <c r="D8">
        <f>45691.7116986054/1000</f>
        <v>45.691711698605403</v>
      </c>
      <c r="E8">
        <f>44813.5339077721/1000</f>
        <v>44.813533907772097</v>
      </c>
      <c r="G8" s="56">
        <f>0.035674020980412</f>
        <v>3.5674020980412002E-2</v>
      </c>
      <c r="H8" s="56">
        <f>0.0350223800722967</f>
        <v>3.5022380072296702E-2</v>
      </c>
      <c r="I8" s="64">
        <f>0.0885299175077936</f>
        <v>8.8529917507793598E-2</v>
      </c>
      <c r="J8" s="64">
        <f>0.0960582414207214</f>
        <v>9.6058241420721405E-2</v>
      </c>
      <c r="M8" s="67">
        <f t="shared" si="1"/>
        <v>1.6081611082726175</v>
      </c>
      <c r="N8" s="67">
        <f t="shared" si="2"/>
        <v>1.5621196089018827</v>
      </c>
      <c r="O8" s="63">
        <f t="shared" si="3"/>
        <v>4.0450834674674239</v>
      </c>
      <c r="P8" s="63">
        <f t="shared" si="4"/>
        <v>4.3047092590284572</v>
      </c>
      <c r="Q8" s="64"/>
      <c r="R8" s="64"/>
    </row>
    <row r="9" spans="1:18" x14ac:dyDescent="0.2">
      <c r="A9" s="17">
        <v>0.15</v>
      </c>
      <c r="B9">
        <f>49360.1598677612/1000</f>
        <v>49.360159867761197</v>
      </c>
      <c r="C9" s="13">
        <f>51333.9465005835/1000</f>
        <v>51.333946500583501</v>
      </c>
      <c r="D9">
        <f>48922.5153188015/1000</f>
        <v>48.922515318801501</v>
      </c>
      <c r="E9">
        <f>51375.5936055346/1000</f>
        <v>51.375593605534604</v>
      </c>
      <c r="G9" s="56">
        <f>0.0475605942880805</f>
        <v>4.7560594288080502E-2</v>
      </c>
      <c r="H9" s="56">
        <f>0.0410097676980279</f>
        <v>4.1009767698027902E-2</v>
      </c>
      <c r="I9" s="64">
        <f>0.0365605267826047</f>
        <v>3.6560526782604699E-2</v>
      </c>
      <c r="J9" s="64">
        <f>0.0361338318362237</f>
        <v>3.61338318362237E-2</v>
      </c>
      <c r="M9" s="67">
        <f>G9*B9</f>
        <v>2.3475985374653838</v>
      </c>
      <c r="N9" s="67">
        <f t="shared" si="2"/>
        <v>2.1051932210119215</v>
      </c>
      <c r="O9" s="63">
        <f t="shared" si="3"/>
        <v>1.788632931585431</v>
      </c>
      <c r="P9" s="63">
        <f t="shared" si="4"/>
        <v>1.8563970598285571</v>
      </c>
      <c r="Q9" s="64"/>
      <c r="R9" s="64"/>
    </row>
    <row r="12" spans="1:18" x14ac:dyDescent="0.2">
      <c r="I12" s="13"/>
    </row>
    <row r="13" spans="1:18" x14ac:dyDescent="0.2">
      <c r="I13" s="7"/>
    </row>
    <row r="14" spans="1:18" x14ac:dyDescent="0.2">
      <c r="I14" s="7"/>
    </row>
    <row r="15" spans="1:18" x14ac:dyDescent="0.2">
      <c r="I15" s="7"/>
    </row>
    <row r="16" spans="1:18" x14ac:dyDescent="0.2">
      <c r="I16" s="7"/>
    </row>
    <row r="17" spans="1:9" x14ac:dyDescent="0.2">
      <c r="I17" s="7"/>
    </row>
    <row r="27" spans="1:9" x14ac:dyDescent="0.2">
      <c r="A27" s="13"/>
      <c r="I27" s="13"/>
    </row>
    <row r="28" spans="1:9" x14ac:dyDescent="0.2">
      <c r="A28" s="7"/>
      <c r="I28" s="7"/>
    </row>
    <row r="29" spans="1:9" x14ac:dyDescent="0.2">
      <c r="A29" s="7"/>
      <c r="I29" s="7"/>
    </row>
    <row r="30" spans="1:9" x14ac:dyDescent="0.2">
      <c r="A30" s="7"/>
      <c r="I30" s="7"/>
    </row>
    <row r="31" spans="1:9" x14ac:dyDescent="0.2">
      <c r="A31" s="7"/>
      <c r="I31" s="7"/>
    </row>
    <row r="32" spans="1:9" x14ac:dyDescent="0.2">
      <c r="A32" s="7"/>
      <c r="I32" s="7"/>
    </row>
    <row r="66" spans="13:13" x14ac:dyDescent="0.2">
      <c r="M66" t="s">
        <v>14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4"/>
  <sheetViews>
    <sheetView zoomScale="124" zoomScaleNormal="124" workbookViewId="0">
      <selection activeCell="M21" sqref="M21"/>
    </sheetView>
  </sheetViews>
  <sheetFormatPr defaultRowHeight="12.75" x14ac:dyDescent="0.2"/>
  <cols>
    <col min="2" max="3" width="13.5703125" bestFit="1" customWidth="1"/>
    <col min="4" max="4" width="13.140625" bestFit="1" customWidth="1"/>
  </cols>
  <sheetData>
    <row r="4" spans="1:6" x14ac:dyDescent="0.2">
      <c r="B4" s="70" t="s">
        <v>101</v>
      </c>
      <c r="C4" s="70"/>
      <c r="D4" s="70"/>
    </row>
    <row r="5" spans="1:6" x14ac:dyDescent="0.2">
      <c r="A5" s="69"/>
      <c r="B5" s="69"/>
      <c r="C5" s="69"/>
    </row>
    <row r="6" spans="1:6" x14ac:dyDescent="0.2">
      <c r="A6" s="69"/>
      <c r="B6" s="69" t="s">
        <v>100</v>
      </c>
      <c r="C6" s="69" t="s">
        <v>99</v>
      </c>
      <c r="E6" t="s">
        <v>139</v>
      </c>
    </row>
    <row r="7" spans="1:6" x14ac:dyDescent="0.2">
      <c r="B7">
        <v>0</v>
      </c>
      <c r="C7" s="11"/>
      <c r="E7">
        <v>2.5000000000000002E-10</v>
      </c>
      <c r="F7">
        <v>2.5</v>
      </c>
    </row>
    <row r="8" spans="1:6" x14ac:dyDescent="0.2">
      <c r="B8">
        <v>0.01</v>
      </c>
      <c r="C8">
        <v>2.957280427393751E-10</v>
      </c>
      <c r="D8">
        <v>2.9569999999999999</v>
      </c>
      <c r="E8">
        <v>2.5000000000000002E-10</v>
      </c>
      <c r="F8" s="64">
        <v>2.5</v>
      </c>
    </row>
    <row r="9" spans="1:6" x14ac:dyDescent="0.2">
      <c r="B9">
        <v>0.03</v>
      </c>
      <c r="C9">
        <v>3.1199446978733407E-10</v>
      </c>
      <c r="D9">
        <v>3.1190000000000002</v>
      </c>
      <c r="E9">
        <v>2.5000000000000002E-10</v>
      </c>
      <c r="F9" s="64">
        <v>2.5</v>
      </c>
    </row>
    <row r="10" spans="1:6" x14ac:dyDescent="0.2">
      <c r="B10">
        <v>0.05</v>
      </c>
      <c r="C10">
        <v>2.9469644413216983E-10</v>
      </c>
      <c r="D10">
        <v>2.9470000000000001</v>
      </c>
      <c r="E10">
        <v>2.5000000000000002E-10</v>
      </c>
      <c r="F10" s="64">
        <v>2.5</v>
      </c>
    </row>
    <row r="11" spans="1:6" x14ac:dyDescent="0.2">
      <c r="B11">
        <v>0.1</v>
      </c>
      <c r="C11">
        <v>2.2229781177222302E-10</v>
      </c>
      <c r="D11">
        <v>2.2200000000000002</v>
      </c>
      <c r="E11">
        <v>2.5000000000000002E-10</v>
      </c>
      <c r="F11" s="64">
        <v>2.5</v>
      </c>
    </row>
    <row r="12" spans="1:6" x14ac:dyDescent="0.2">
      <c r="B12">
        <v>0.15</v>
      </c>
      <c r="C12">
        <v>2.0122140496609597E-10</v>
      </c>
      <c r="D12">
        <v>2.0122</v>
      </c>
      <c r="E12" s="64">
        <v>2.5000000000000002E-10</v>
      </c>
      <c r="F12" s="64">
        <v>2.5</v>
      </c>
    </row>
    <row r="14" spans="1:6" x14ac:dyDescent="0.2">
      <c r="B14">
        <f>AVERAGE(B8:B12)</f>
        <v>6.7999999999999991E-2</v>
      </c>
      <c r="C14" s="64">
        <f>AVERAGE(D8:D12)</f>
        <v>2.6510400000000001</v>
      </c>
    </row>
    <row r="15" spans="1:6" x14ac:dyDescent="0.2">
      <c r="B15">
        <f>STDEV(B8:B12)</f>
        <v>5.674504383644445E-2</v>
      </c>
      <c r="C15" s="64">
        <f>STDEV(D8:D12)</f>
        <v>0.49852342773434388</v>
      </c>
      <c r="D15">
        <f>C15/100</f>
        <v>4.9852342773434389E-3</v>
      </c>
    </row>
    <row r="16" spans="1:6" x14ac:dyDescent="0.2">
      <c r="B16" s="64">
        <f>B15/B14</f>
        <v>0.834485938771242</v>
      </c>
      <c r="C16">
        <f>C15/C14</f>
        <v>0.18804824813444682</v>
      </c>
    </row>
    <row r="20" spans="2:3" x14ac:dyDescent="0.2">
      <c r="B20">
        <f t="array" ref="B20:C21">(-LINEST(C8:C12,B8:B12,1,1))</f>
        <v>8.3065738674305147E-10</v>
      </c>
      <c r="C20">
        <v>-3.216723369779671E-10</v>
      </c>
    </row>
    <row r="21" spans="2:3" x14ac:dyDescent="0.2">
      <c r="B21">
        <v>-1.639390102637448E-10</v>
      </c>
      <c r="C21">
        <v>-1.3910686303020593E-11</v>
      </c>
    </row>
    <row r="22" spans="2:3" x14ac:dyDescent="0.2">
      <c r="B22">
        <f>-B21/B20</f>
        <v>0.19736056391015555</v>
      </c>
    </row>
    <row r="23" spans="2:3" x14ac:dyDescent="0.2">
      <c r="B23">
        <f>-B22/100</f>
        <v>-1.9736056391015553E-3</v>
      </c>
    </row>
    <row r="24" spans="2:3" x14ac:dyDescent="0.2">
      <c r="B24" t="e">
        <f>LOG(B21)</f>
        <v>#NUM!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9"/>
  <sheetViews>
    <sheetView topLeftCell="A8" zoomScale="110" zoomScaleNormal="110" workbookViewId="0">
      <selection activeCell="B12" sqref="B12:H20"/>
    </sheetView>
  </sheetViews>
  <sheetFormatPr defaultRowHeight="12.75" x14ac:dyDescent="0.2"/>
  <sheetData>
    <row r="3" spans="1:8" x14ac:dyDescent="0.2">
      <c r="A3" t="s">
        <v>15</v>
      </c>
      <c r="B3" s="3"/>
      <c r="C3" s="3">
        <v>0</v>
      </c>
      <c r="D3" s="3">
        <v>1</v>
      </c>
      <c r="E3" s="3">
        <v>3</v>
      </c>
      <c r="F3" s="3">
        <v>5</v>
      </c>
      <c r="G3" s="3">
        <v>10</v>
      </c>
      <c r="H3" s="3">
        <v>15</v>
      </c>
    </row>
    <row r="4" spans="1:8" x14ac:dyDescent="0.2">
      <c r="B4" s="6">
        <v>1</v>
      </c>
      <c r="C4" s="47">
        <v>10.582800000000001</v>
      </c>
      <c r="D4">
        <v>10.541</v>
      </c>
      <c r="E4">
        <v>10.507</v>
      </c>
      <c r="F4">
        <v>10.472999999999999</v>
      </c>
      <c r="G4">
        <v>10.365</v>
      </c>
      <c r="H4">
        <v>10.209</v>
      </c>
    </row>
    <row r="5" spans="1:8" x14ac:dyDescent="0.2">
      <c r="B5" s="6">
        <v>2</v>
      </c>
      <c r="C5" s="47">
        <v>8.4931999999999999</v>
      </c>
      <c r="D5">
        <v>8.4499999999999993</v>
      </c>
      <c r="E5">
        <v>8.4310000000000009</v>
      </c>
      <c r="F5">
        <v>8.4140000000000015</v>
      </c>
      <c r="G5">
        <v>8.3570000000000011</v>
      </c>
      <c r="H5">
        <v>8.2719999999999985</v>
      </c>
    </row>
    <row r="6" spans="1:8" x14ac:dyDescent="0.2">
      <c r="B6" s="6">
        <v>3</v>
      </c>
      <c r="C6" s="47">
        <v>8.3158999999999992</v>
      </c>
      <c r="D6">
        <v>8.2800000000000011</v>
      </c>
      <c r="E6">
        <v>8.2629999999999999</v>
      </c>
      <c r="F6">
        <v>8.2480000000000011</v>
      </c>
      <c r="G6">
        <v>8.197000000000001</v>
      </c>
      <c r="H6">
        <v>8.1329999999999991</v>
      </c>
    </row>
    <row r="7" spans="1:8" x14ac:dyDescent="0.2">
      <c r="B7" s="6">
        <v>4</v>
      </c>
      <c r="C7" s="47">
        <v>4.2729999999999997</v>
      </c>
      <c r="D7">
        <v>4.2930000000000001</v>
      </c>
      <c r="E7">
        <v>4.2839999999999998</v>
      </c>
      <c r="F7">
        <v>4.2839999999999998</v>
      </c>
      <c r="G7">
        <v>4.2960000000000003</v>
      </c>
      <c r="H7">
        <v>4.2990000000000004</v>
      </c>
    </row>
    <row r="8" spans="1:8" x14ac:dyDescent="0.2">
      <c r="B8" s="6">
        <v>5</v>
      </c>
      <c r="C8" s="47">
        <v>4</v>
      </c>
      <c r="D8">
        <v>4</v>
      </c>
      <c r="E8">
        <v>4</v>
      </c>
      <c r="F8">
        <v>4</v>
      </c>
      <c r="G8">
        <v>4</v>
      </c>
      <c r="H8">
        <v>4</v>
      </c>
    </row>
    <row r="9" spans="1:8" x14ac:dyDescent="0.2">
      <c r="B9" s="6" t="s">
        <v>10</v>
      </c>
      <c r="C9" s="47">
        <v>1.4880000000000002</v>
      </c>
      <c r="D9">
        <v>1.508</v>
      </c>
      <c r="E9">
        <v>1.518</v>
      </c>
      <c r="F9">
        <v>1.5229999999999999</v>
      </c>
      <c r="G9">
        <v>1.5450000000000002</v>
      </c>
      <c r="H9">
        <v>1.5690000000000002</v>
      </c>
    </row>
    <row r="10" spans="1:8" x14ac:dyDescent="0.2">
      <c r="B10" s="6">
        <v>7</v>
      </c>
      <c r="C10" s="47">
        <v>1.2570000000000001</v>
      </c>
      <c r="D10">
        <v>1.2809999999999999</v>
      </c>
      <c r="E10">
        <v>1.2870000000000001</v>
      </c>
      <c r="F10">
        <v>1.2849999999999999</v>
      </c>
      <c r="G10">
        <v>1.2990000000000002</v>
      </c>
      <c r="H10">
        <v>1.3130000000000002</v>
      </c>
    </row>
    <row r="12" spans="1:8" x14ac:dyDescent="0.2">
      <c r="B12" s="4"/>
      <c r="C12" s="4">
        <v>0</v>
      </c>
      <c r="D12" s="4">
        <v>1</v>
      </c>
      <c r="E12" s="4">
        <v>3</v>
      </c>
      <c r="F12" s="4">
        <v>5</v>
      </c>
      <c r="G12" s="4">
        <v>10</v>
      </c>
      <c r="H12" s="4">
        <v>15</v>
      </c>
    </row>
    <row r="13" spans="1:8" x14ac:dyDescent="0.2">
      <c r="B13" s="6">
        <v>1</v>
      </c>
      <c r="C13">
        <f>C4-C4</f>
        <v>0</v>
      </c>
      <c r="D13">
        <f>D4-C4</f>
        <v>-4.1800000000000281E-2</v>
      </c>
      <c r="E13">
        <f>E4-C4</f>
        <v>-7.5800000000000978E-2</v>
      </c>
      <c r="F13">
        <f>F4-C4</f>
        <v>-0.10980000000000167</v>
      </c>
      <c r="G13">
        <f>G4-C4</f>
        <v>-0.21780000000000044</v>
      </c>
      <c r="H13">
        <f>H4-C4</f>
        <v>-0.37380000000000102</v>
      </c>
    </row>
    <row r="14" spans="1:8" x14ac:dyDescent="0.2">
      <c r="B14" s="6">
        <v>2</v>
      </c>
      <c r="C14">
        <f t="shared" ref="C14:C19" si="0">C5-C5</f>
        <v>0</v>
      </c>
      <c r="D14">
        <f>D5-C5</f>
        <v>-4.3200000000000571E-2</v>
      </c>
      <c r="E14">
        <f t="shared" ref="E14:E19" si="1">E5-C5</f>
        <v>-6.2199999999998923E-2</v>
      </c>
      <c r="F14">
        <f>F5-C5</f>
        <v>-7.9199999999998383E-2</v>
      </c>
      <c r="G14">
        <f t="shared" ref="G14:G19" si="2">G5-C5</f>
        <v>-0.13619999999999877</v>
      </c>
      <c r="H14">
        <f t="shared" ref="H14:H19" si="3">H5-C5</f>
        <v>-0.2212000000000014</v>
      </c>
    </row>
    <row r="15" spans="1:8" x14ac:dyDescent="0.2">
      <c r="B15" s="6">
        <v>3</v>
      </c>
      <c r="C15">
        <f t="shared" si="0"/>
        <v>0</v>
      </c>
      <c r="D15">
        <f t="shared" ref="D15:D19" si="4">D6-C6</f>
        <v>-3.5899999999998045E-2</v>
      </c>
      <c r="E15">
        <f t="shared" si="1"/>
        <v>-5.2899999999999281E-2</v>
      </c>
      <c r="F15">
        <f t="shared" ref="F15:F19" si="5">F6-C6</f>
        <v>-6.7899999999998073E-2</v>
      </c>
      <c r="G15">
        <f t="shared" si="2"/>
        <v>-0.11889999999999823</v>
      </c>
      <c r="H15">
        <f t="shared" si="3"/>
        <v>-0.18290000000000006</v>
      </c>
    </row>
    <row r="16" spans="1:8" x14ac:dyDescent="0.2">
      <c r="B16" s="6">
        <v>4</v>
      </c>
      <c r="C16">
        <f t="shared" si="0"/>
        <v>0</v>
      </c>
      <c r="D16">
        <f t="shared" si="4"/>
        <v>2.0000000000000462E-2</v>
      </c>
      <c r="E16">
        <f t="shared" si="1"/>
        <v>1.1000000000000121E-2</v>
      </c>
      <c r="F16">
        <f t="shared" si="5"/>
        <v>1.1000000000000121E-2</v>
      </c>
      <c r="G16">
        <f t="shared" si="2"/>
        <v>2.3000000000000576E-2</v>
      </c>
      <c r="H16">
        <f t="shared" si="3"/>
        <v>2.6000000000000689E-2</v>
      </c>
    </row>
    <row r="17" spans="1:8" x14ac:dyDescent="0.2">
      <c r="B17" s="6">
        <v>5</v>
      </c>
      <c r="C17">
        <f t="shared" si="0"/>
        <v>0</v>
      </c>
      <c r="D17">
        <f t="shared" si="4"/>
        <v>0</v>
      </c>
      <c r="E17">
        <f t="shared" si="1"/>
        <v>0</v>
      </c>
      <c r="F17">
        <f t="shared" si="5"/>
        <v>0</v>
      </c>
      <c r="G17">
        <f t="shared" si="2"/>
        <v>0</v>
      </c>
      <c r="H17">
        <f t="shared" si="3"/>
        <v>0</v>
      </c>
    </row>
    <row r="18" spans="1:8" x14ac:dyDescent="0.2">
      <c r="B18" s="6" t="s">
        <v>10</v>
      </c>
      <c r="C18">
        <f t="shared" si="0"/>
        <v>0</v>
      </c>
      <c r="D18">
        <f>D9-C9</f>
        <v>1.9999999999999796E-2</v>
      </c>
      <c r="E18">
        <f>E9-C9</f>
        <v>2.9999999999999805E-2</v>
      </c>
      <c r="F18">
        <f t="shared" si="5"/>
        <v>3.4999999999999698E-2</v>
      </c>
      <c r="G18">
        <f t="shared" si="2"/>
        <v>5.699999999999994E-2</v>
      </c>
      <c r="H18">
        <f t="shared" si="3"/>
        <v>8.0999999999999961E-2</v>
      </c>
    </row>
    <row r="19" spans="1:8" x14ac:dyDescent="0.2">
      <c r="B19" s="6">
        <v>7</v>
      </c>
      <c r="C19">
        <f t="shared" si="0"/>
        <v>0</v>
      </c>
      <c r="D19">
        <f t="shared" si="4"/>
        <v>2.3999999999999799E-2</v>
      </c>
      <c r="E19">
        <f t="shared" si="1"/>
        <v>3.0000000000000027E-2</v>
      </c>
      <c r="F19">
        <f t="shared" si="5"/>
        <v>2.7999999999999803E-2</v>
      </c>
      <c r="G19">
        <f t="shared" si="2"/>
        <v>4.2000000000000037E-2</v>
      </c>
      <c r="H19">
        <f t="shared" si="3"/>
        <v>5.600000000000005E-2</v>
      </c>
    </row>
    <row r="24" spans="1:8" x14ac:dyDescent="0.2">
      <c r="A24" s="3"/>
      <c r="B24" s="3" t="s">
        <v>24</v>
      </c>
      <c r="C24" s="3" t="s">
        <v>25</v>
      </c>
      <c r="D24" s="3" t="s">
        <v>26</v>
      </c>
      <c r="E24" s="3" t="s">
        <v>27</v>
      </c>
      <c r="F24" s="3" t="s">
        <v>28</v>
      </c>
      <c r="G24" s="3" t="s">
        <v>29</v>
      </c>
      <c r="H24" s="3" t="s">
        <v>30</v>
      </c>
    </row>
    <row r="25" spans="1:8" x14ac:dyDescent="0.2">
      <c r="A25" s="5">
        <v>0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</row>
    <row r="26" spans="1:8" x14ac:dyDescent="0.2">
      <c r="A26" s="5">
        <v>1</v>
      </c>
      <c r="B26">
        <v>-6.4600000000000435E-2</v>
      </c>
      <c r="C26">
        <v>-2.9400000000000759E-2</v>
      </c>
      <c r="D26">
        <v>-2.9100000000001458E-2</v>
      </c>
      <c r="E26">
        <v>1.9000000000000128E-3</v>
      </c>
      <c r="F26">
        <v>0</v>
      </c>
      <c r="G26">
        <v>4.5999999999999375E-3</v>
      </c>
      <c r="H26">
        <v>5.4000000000000714E-3</v>
      </c>
    </row>
    <row r="27" spans="1:8" x14ac:dyDescent="0.2">
      <c r="A27" s="5">
        <v>3</v>
      </c>
      <c r="B27">
        <v>-9.7600000000001685E-2</v>
      </c>
      <c r="C27">
        <v>-4.9400000000000333E-2</v>
      </c>
      <c r="D27">
        <v>-4.7100000000000364E-2</v>
      </c>
      <c r="E27">
        <v>5.8999999999995723E-3</v>
      </c>
      <c r="F27">
        <v>0</v>
      </c>
      <c r="G27">
        <v>1.1599999999999611E-2</v>
      </c>
      <c r="H27">
        <v>7.3999999999998511E-3</v>
      </c>
    </row>
    <row r="28" spans="1:8" x14ac:dyDescent="0.2">
      <c r="A28" s="5">
        <v>5</v>
      </c>
      <c r="B28">
        <v>-0.11760000000000126</v>
      </c>
      <c r="C28">
        <v>-5.9400000000000119E-2</v>
      </c>
      <c r="D28">
        <v>-5.7100000000001927E-2</v>
      </c>
      <c r="E28">
        <v>6.8999999999999062E-3</v>
      </c>
      <c r="F28">
        <v>0</v>
      </c>
      <c r="G28">
        <v>1.9600000000000506E-2</v>
      </c>
      <c r="H28">
        <v>1.4400000000000857E-2</v>
      </c>
    </row>
    <row r="29" spans="1:8" x14ac:dyDescent="0.2">
      <c r="A29" s="5">
        <v>10</v>
      </c>
      <c r="B29">
        <v>-0.25060000000000038</v>
      </c>
      <c r="C29">
        <v>-0.13039999999999985</v>
      </c>
      <c r="D29">
        <v>-0.12110000000000021</v>
      </c>
      <c r="E29">
        <v>1.18999999999998E-2</v>
      </c>
      <c r="F29">
        <v>0</v>
      </c>
      <c r="G29">
        <v>4.3600000000000527E-2</v>
      </c>
      <c r="H29">
        <v>3.4400000000000874E-2</v>
      </c>
    </row>
    <row r="30" spans="1:8" x14ac:dyDescent="0.2">
      <c r="A30" s="5">
        <v>15</v>
      </c>
      <c r="B30">
        <v>-0.38360000000000127</v>
      </c>
      <c r="C30">
        <v>-0.19840000000000124</v>
      </c>
      <c r="D30">
        <v>-0.1811000000000007</v>
      </c>
      <c r="E30">
        <v>1.9899999999999807E-2</v>
      </c>
      <c r="F30">
        <v>0</v>
      </c>
      <c r="G30">
        <v>6.6600000000000215E-2</v>
      </c>
      <c r="H30">
        <v>4.6400000000000441E-2</v>
      </c>
    </row>
    <row r="32" spans="1:8" x14ac:dyDescent="0.2">
      <c r="B32" s="3"/>
      <c r="C32" s="62">
        <v>0</v>
      </c>
      <c r="D32" s="62">
        <v>1</v>
      </c>
      <c r="E32" s="62">
        <v>3</v>
      </c>
      <c r="F32" s="62">
        <v>5</v>
      </c>
      <c r="G32" s="62">
        <v>10</v>
      </c>
      <c r="H32" s="62">
        <v>15</v>
      </c>
    </row>
    <row r="33" spans="2:8" x14ac:dyDescent="0.2">
      <c r="B33" s="3" t="s">
        <v>24</v>
      </c>
      <c r="C33" s="64">
        <v>0</v>
      </c>
      <c r="D33" s="64">
        <v>-6.4600000000000435E-2</v>
      </c>
      <c r="E33" s="64">
        <v>-9.7600000000001685E-2</v>
      </c>
      <c r="F33" s="64">
        <v>-0.11760000000000126</v>
      </c>
      <c r="G33" s="64">
        <v>-0.25060000000000038</v>
      </c>
      <c r="H33" s="64">
        <v>-0.38360000000000127</v>
      </c>
    </row>
    <row r="34" spans="2:8" x14ac:dyDescent="0.2">
      <c r="B34" s="3" t="s">
        <v>25</v>
      </c>
      <c r="C34" s="64">
        <v>0</v>
      </c>
      <c r="D34" s="64">
        <v>-2.9400000000000759E-2</v>
      </c>
      <c r="E34" s="64">
        <v>-4.9400000000000333E-2</v>
      </c>
      <c r="F34" s="64">
        <v>-5.9400000000000119E-2</v>
      </c>
      <c r="G34" s="64">
        <v>-0.13039999999999985</v>
      </c>
      <c r="H34" s="64">
        <v>-0.19840000000000124</v>
      </c>
    </row>
    <row r="35" spans="2:8" x14ac:dyDescent="0.2">
      <c r="B35" s="3" t="s">
        <v>26</v>
      </c>
      <c r="C35" s="64">
        <v>0</v>
      </c>
      <c r="D35" s="64">
        <v>-2.9100000000001458E-2</v>
      </c>
      <c r="E35" s="64">
        <v>-4.7100000000000364E-2</v>
      </c>
      <c r="F35" s="64">
        <v>-5.7100000000001927E-2</v>
      </c>
      <c r="G35" s="64">
        <v>-0.12110000000000021</v>
      </c>
      <c r="H35" s="64">
        <v>-0.1811000000000007</v>
      </c>
    </row>
    <row r="36" spans="2:8" x14ac:dyDescent="0.2">
      <c r="B36" s="3" t="s">
        <v>27</v>
      </c>
      <c r="C36" s="64">
        <v>0</v>
      </c>
      <c r="D36" s="64">
        <v>1.9000000000000128E-3</v>
      </c>
      <c r="E36" s="64">
        <v>5.8999999999995723E-3</v>
      </c>
      <c r="F36" s="64">
        <v>6.8999999999999062E-3</v>
      </c>
      <c r="G36" s="64">
        <v>1.18999999999998E-2</v>
      </c>
      <c r="H36" s="64">
        <v>1.9899999999999807E-2</v>
      </c>
    </row>
    <row r="37" spans="2:8" x14ac:dyDescent="0.2">
      <c r="B37" s="3" t="s">
        <v>28</v>
      </c>
      <c r="C37" s="64">
        <v>0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</row>
    <row r="38" spans="2:8" x14ac:dyDescent="0.2">
      <c r="B38" s="3" t="s">
        <v>29</v>
      </c>
      <c r="C38" s="64">
        <v>0</v>
      </c>
      <c r="D38" s="64">
        <v>4.5999999999999375E-3</v>
      </c>
      <c r="E38" s="64">
        <v>1.1599999999999611E-2</v>
      </c>
      <c r="F38" s="64">
        <v>1.9600000000000506E-2</v>
      </c>
      <c r="G38" s="64">
        <v>4.3600000000000527E-2</v>
      </c>
      <c r="H38" s="64">
        <v>6.6600000000000215E-2</v>
      </c>
    </row>
    <row r="39" spans="2:8" x14ac:dyDescent="0.2">
      <c r="B39" s="3" t="s">
        <v>30</v>
      </c>
      <c r="C39" s="64">
        <v>0</v>
      </c>
      <c r="D39" s="64">
        <v>5.4000000000000714E-3</v>
      </c>
      <c r="E39" s="64">
        <v>7.3999999999998511E-3</v>
      </c>
      <c r="F39" s="64">
        <v>1.4400000000000857E-2</v>
      </c>
      <c r="G39" s="64">
        <v>3.4400000000000874E-2</v>
      </c>
      <c r="H39" s="64">
        <v>4.6400000000000441E-2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62"/>
  <sheetViews>
    <sheetView topLeftCell="A25" workbookViewId="0">
      <selection activeCell="W46" sqref="W46"/>
    </sheetView>
  </sheetViews>
  <sheetFormatPr defaultRowHeight="12.75" x14ac:dyDescent="0.2"/>
  <sheetData>
    <row r="4" spans="1:11" x14ac:dyDescent="0.2">
      <c r="A4" s="6" t="s">
        <v>22</v>
      </c>
    </row>
    <row r="5" spans="1:11" x14ac:dyDescent="0.2">
      <c r="A5" s="5"/>
      <c r="B5" s="5">
        <v>1</v>
      </c>
      <c r="C5" s="5">
        <v>3</v>
      </c>
      <c r="D5" s="5">
        <v>5</v>
      </c>
      <c r="E5" s="5">
        <v>10</v>
      </c>
      <c r="F5" s="5">
        <v>15</v>
      </c>
    </row>
    <row r="6" spans="1:11" x14ac:dyDescent="0.2">
      <c r="A6" s="6">
        <v>2</v>
      </c>
      <c r="B6">
        <v>0</v>
      </c>
      <c r="C6">
        <v>-3.6000000000001364E-2</v>
      </c>
      <c r="D6">
        <v>-7.3000000000000398E-2</v>
      </c>
      <c r="E6">
        <v>-0.17500000000000071</v>
      </c>
      <c r="F6">
        <v>-0.3160000000000025</v>
      </c>
    </row>
    <row r="7" spans="1:11" x14ac:dyDescent="0.2">
      <c r="A7" s="6">
        <v>1</v>
      </c>
      <c r="B7">
        <v>0</v>
      </c>
      <c r="C7">
        <v>-2.1000000000000796E-2</v>
      </c>
      <c r="D7">
        <v>-3.6999999999999034E-2</v>
      </c>
      <c r="E7">
        <v>-9.2999999999999972E-2</v>
      </c>
      <c r="F7">
        <v>-0.17500000000000071</v>
      </c>
    </row>
    <row r="8" spans="1:11" x14ac:dyDescent="0.2">
      <c r="A8" s="6">
        <v>3</v>
      </c>
      <c r="B8">
        <v>0</v>
      </c>
      <c r="C8">
        <v>-1.8000000000000682E-2</v>
      </c>
      <c r="D8">
        <v>-3.2999999999997698E-2</v>
      </c>
      <c r="E8">
        <v>-8.2000000000000739E-2</v>
      </c>
      <c r="F8">
        <v>-0.14799999999999969</v>
      </c>
    </row>
    <row r="9" spans="1:11" x14ac:dyDescent="0.2">
      <c r="A9" s="6">
        <v>4</v>
      </c>
      <c r="B9">
        <v>0</v>
      </c>
      <c r="C9">
        <v>4.9999999999998934E-3</v>
      </c>
      <c r="D9">
        <v>4.0000000000004476E-3</v>
      </c>
      <c r="E9">
        <v>1.6000000000000014E-2</v>
      </c>
      <c r="F9">
        <v>1.7999999999999794E-2</v>
      </c>
    </row>
    <row r="10" spans="1:11" x14ac:dyDescent="0.2">
      <c r="A10" s="6">
        <v>5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11" x14ac:dyDescent="0.2">
      <c r="A11" s="6" t="s">
        <v>16</v>
      </c>
      <c r="B11">
        <v>0</v>
      </c>
      <c r="C11">
        <v>6.9999999999996732E-3</v>
      </c>
      <c r="D11">
        <v>1.5000000000000124E-2</v>
      </c>
      <c r="E11">
        <v>3.6000000000000254E-2</v>
      </c>
      <c r="F11">
        <v>6.2999999999999723E-2</v>
      </c>
      <c r="K11" s="18"/>
    </row>
    <row r="12" spans="1:11" x14ac:dyDescent="0.2">
      <c r="A12" s="6">
        <v>7</v>
      </c>
      <c r="B12">
        <v>0</v>
      </c>
      <c r="C12">
        <v>4.9999999999998934E-3</v>
      </c>
      <c r="D12">
        <v>3.0000000000003357E-3</v>
      </c>
      <c r="E12">
        <v>1.5000000000000346E-2</v>
      </c>
      <c r="F12">
        <v>2.8999999999999915E-2</v>
      </c>
    </row>
    <row r="16" spans="1:11" x14ac:dyDescent="0.2">
      <c r="A16" s="6" t="s">
        <v>23</v>
      </c>
      <c r="B16" s="6"/>
      <c r="C16" s="6"/>
      <c r="D16" s="6"/>
      <c r="E16" s="6"/>
      <c r="F16" s="6"/>
      <c r="G16" s="6"/>
      <c r="H16" s="6"/>
    </row>
    <row r="17" spans="1:8" x14ac:dyDescent="0.2">
      <c r="A17" s="19"/>
      <c r="B17" s="20" t="s">
        <v>25</v>
      </c>
      <c r="C17" s="20" t="s">
        <v>24</v>
      </c>
      <c r="D17" s="20" t="s">
        <v>26</v>
      </c>
      <c r="E17" s="20" t="s">
        <v>27</v>
      </c>
      <c r="F17" s="20" t="s">
        <v>28</v>
      </c>
      <c r="G17" s="20" t="s">
        <v>29</v>
      </c>
      <c r="H17" s="20" t="s">
        <v>30</v>
      </c>
    </row>
    <row r="18" spans="1:8" x14ac:dyDescent="0.2">
      <c r="A18" s="19">
        <v>0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</row>
    <row r="19" spans="1:8" x14ac:dyDescent="0.2">
      <c r="A19" s="19">
        <v>1</v>
      </c>
      <c r="B19" s="18">
        <v>-5.9999999999998721E-2</v>
      </c>
      <c r="C19" s="18">
        <v>-3.399999999999892E-2</v>
      </c>
      <c r="D19" s="18">
        <v>-3.1000000000000583E-2</v>
      </c>
      <c r="E19" s="18">
        <v>-2.0000000000006679E-3</v>
      </c>
      <c r="F19" s="18">
        <v>0</v>
      </c>
      <c r="G19" s="18">
        <v>1.499999999999968E-2</v>
      </c>
      <c r="H19" s="18">
        <v>7.9999999999997851E-3</v>
      </c>
    </row>
    <row r="20" spans="1:8" x14ac:dyDescent="0.2">
      <c r="A20" s="19">
        <v>3</v>
      </c>
      <c r="B20" s="18">
        <v>-9.7999999999998977E-2</v>
      </c>
      <c r="C20" s="18">
        <v>-5.6999999999998607E-2</v>
      </c>
      <c r="D20" s="18">
        <v>-5.2999999999999048E-2</v>
      </c>
      <c r="E20" s="18">
        <v>-1.9999999999997797E-3</v>
      </c>
      <c r="F20" s="18">
        <v>0</v>
      </c>
      <c r="G20" s="18">
        <v>2.5000000000000355E-2</v>
      </c>
      <c r="H20" s="18">
        <v>1.4000000000000457E-2</v>
      </c>
    </row>
    <row r="21" spans="1:8" x14ac:dyDescent="0.2">
      <c r="A21" s="19">
        <v>5</v>
      </c>
      <c r="B21" s="18">
        <v>-0.1379999999999999</v>
      </c>
      <c r="C21" s="18">
        <v>-7.7999999999999403E-2</v>
      </c>
      <c r="D21" s="18">
        <v>-7.099999999999973E-2</v>
      </c>
      <c r="E21" s="18">
        <v>0</v>
      </c>
      <c r="F21" s="18">
        <v>0</v>
      </c>
      <c r="G21" s="18">
        <v>3.3999999999999586E-2</v>
      </c>
      <c r="H21" s="18">
        <v>1.9999999999999574E-2</v>
      </c>
    </row>
    <row r="22" spans="1:8" x14ac:dyDescent="0.2">
      <c r="A22" s="19">
        <v>10</v>
      </c>
      <c r="B22" s="18">
        <v>-0.14400000000000013</v>
      </c>
      <c r="C22" s="18">
        <v>-7.6999999999999957E-2</v>
      </c>
      <c r="D22" s="18">
        <v>-7.2000000000000952E-2</v>
      </c>
      <c r="E22" s="18">
        <v>0</v>
      </c>
      <c r="F22" s="18">
        <v>0</v>
      </c>
      <c r="G22" s="18">
        <v>3.1999999999999584E-2</v>
      </c>
      <c r="H22" s="18">
        <v>2.2999999999999465E-2</v>
      </c>
    </row>
    <row r="23" spans="1:8" x14ac:dyDescent="0.2">
      <c r="A23" s="19">
        <v>15</v>
      </c>
      <c r="B23" s="18">
        <v>-0.31200000000000117</v>
      </c>
      <c r="C23" s="18">
        <v>-0.16699999999999804</v>
      </c>
      <c r="D23" s="18">
        <v>-0.15300000000000047</v>
      </c>
      <c r="E23" s="18">
        <v>1.9999999999997797E-3</v>
      </c>
      <c r="F23" s="18">
        <v>0</v>
      </c>
      <c r="G23" s="18">
        <v>6.5999999999999837E-2</v>
      </c>
      <c r="H23" s="18">
        <v>4.2999999999999705E-2</v>
      </c>
    </row>
    <row r="45" spans="1:8" x14ac:dyDescent="0.2">
      <c r="C45">
        <v>0</v>
      </c>
      <c r="D45">
        <v>1</v>
      </c>
      <c r="E45">
        <v>3</v>
      </c>
      <c r="F45">
        <v>5</v>
      </c>
      <c r="G45">
        <v>10</v>
      </c>
      <c r="H45">
        <v>15</v>
      </c>
    </row>
    <row r="46" spans="1:8" x14ac:dyDescent="0.2">
      <c r="A46" t="s">
        <v>22</v>
      </c>
      <c r="B46">
        <v>1</v>
      </c>
      <c r="C46">
        <v>10.811</v>
      </c>
      <c r="D46">
        <v>10.530000000000001</v>
      </c>
      <c r="E46">
        <v>10.494</v>
      </c>
      <c r="F46">
        <v>10.457000000000001</v>
      </c>
      <c r="G46">
        <v>10.355</v>
      </c>
      <c r="H46">
        <v>10.213999999999999</v>
      </c>
    </row>
    <row r="47" spans="1:8" x14ac:dyDescent="0.2">
      <c r="B47">
        <v>2</v>
      </c>
      <c r="C47">
        <v>8.6909999999999989</v>
      </c>
      <c r="D47">
        <v>8.4329999999999998</v>
      </c>
      <c r="E47">
        <v>8.411999999999999</v>
      </c>
      <c r="F47">
        <v>8.3960000000000008</v>
      </c>
      <c r="G47">
        <v>8.34</v>
      </c>
      <c r="H47">
        <v>8.2579999999999991</v>
      </c>
    </row>
    <row r="48" spans="1:8" x14ac:dyDescent="0.2">
      <c r="B48">
        <v>3</v>
      </c>
      <c r="C48">
        <v>8.5259999999999998</v>
      </c>
      <c r="D48">
        <v>8.2669999999999995</v>
      </c>
      <c r="E48">
        <v>8.2489999999999988</v>
      </c>
      <c r="F48">
        <v>8.2340000000000018</v>
      </c>
      <c r="G48">
        <v>8.1849999999999987</v>
      </c>
      <c r="H48">
        <v>8.1189999999999998</v>
      </c>
    </row>
    <row r="49" spans="2:8" x14ac:dyDescent="0.2">
      <c r="B49">
        <v>4</v>
      </c>
      <c r="C49">
        <v>4.532</v>
      </c>
      <c r="D49">
        <v>4.282</v>
      </c>
      <c r="E49">
        <v>4.2869999999999999</v>
      </c>
      <c r="F49">
        <v>4.2860000000000005</v>
      </c>
      <c r="G49">
        <v>4.298</v>
      </c>
      <c r="H49">
        <v>4.3</v>
      </c>
    </row>
    <row r="50" spans="2:8" x14ac:dyDescent="0.2">
      <c r="B50">
        <v>5</v>
      </c>
      <c r="C50">
        <v>4.24</v>
      </c>
      <c r="D50">
        <v>4</v>
      </c>
      <c r="E50">
        <v>4</v>
      </c>
      <c r="F50">
        <v>4</v>
      </c>
      <c r="G50">
        <v>4</v>
      </c>
      <c r="H50">
        <v>4</v>
      </c>
    </row>
    <row r="51" spans="2:8" x14ac:dyDescent="0.2">
      <c r="B51">
        <v>6</v>
      </c>
    </row>
    <row r="52" spans="2:8" x14ac:dyDescent="0.2">
      <c r="B52">
        <v>7</v>
      </c>
      <c r="C52">
        <v>1.7459999999999998</v>
      </c>
      <c r="D52">
        <v>1.514</v>
      </c>
      <c r="E52">
        <v>1.5209999999999997</v>
      </c>
      <c r="F52">
        <v>1.5290000000000001</v>
      </c>
      <c r="G52">
        <v>1.5500000000000003</v>
      </c>
      <c r="H52">
        <v>1.5769999999999997</v>
      </c>
    </row>
    <row r="53" spans="2:8" x14ac:dyDescent="0.2">
      <c r="B53">
        <v>8</v>
      </c>
      <c r="C53">
        <v>1.5379999999999998</v>
      </c>
      <c r="D53">
        <v>1.2909999999999999</v>
      </c>
      <c r="E53">
        <v>1.2959999999999998</v>
      </c>
      <c r="F53">
        <v>1.2940000000000003</v>
      </c>
      <c r="G53">
        <v>1.3060000000000003</v>
      </c>
      <c r="H53">
        <v>1.3199999999999998</v>
      </c>
    </row>
    <row r="55" spans="2:8" x14ac:dyDescent="0.2">
      <c r="C55">
        <v>0</v>
      </c>
      <c r="D55">
        <v>1</v>
      </c>
      <c r="E55">
        <v>3</v>
      </c>
      <c r="F55">
        <v>5</v>
      </c>
      <c r="G55">
        <v>10</v>
      </c>
      <c r="H55">
        <v>15</v>
      </c>
    </row>
    <row r="56" spans="2:8" x14ac:dyDescent="0.2">
      <c r="B56">
        <v>2</v>
      </c>
      <c r="C56">
        <v>0</v>
      </c>
      <c r="D56">
        <v>-0.28099999999999881</v>
      </c>
      <c r="E56">
        <v>-0.31700000000000017</v>
      </c>
      <c r="F56">
        <v>-0.3539999999999992</v>
      </c>
      <c r="G56">
        <v>-0.45599999999999952</v>
      </c>
      <c r="H56">
        <v>-0.59700000000000131</v>
      </c>
    </row>
    <row r="57" spans="2:8" x14ac:dyDescent="0.2">
      <c r="B57">
        <v>1</v>
      </c>
      <c r="C57">
        <v>0</v>
      </c>
      <c r="D57">
        <v>-0.25799999999999912</v>
      </c>
      <c r="E57">
        <v>-0.27899999999999991</v>
      </c>
      <c r="F57">
        <v>-0.29499999999999815</v>
      </c>
      <c r="G57">
        <v>-0.35099999999999909</v>
      </c>
      <c r="H57">
        <v>-0.43299999999999983</v>
      </c>
    </row>
    <row r="58" spans="2:8" x14ac:dyDescent="0.2">
      <c r="B58">
        <v>3</v>
      </c>
      <c r="C58">
        <v>0</v>
      </c>
      <c r="D58">
        <v>-0.25900000000000034</v>
      </c>
      <c r="E58">
        <v>-0.27700000000000102</v>
      </c>
      <c r="F58">
        <v>-0.29199999999999804</v>
      </c>
      <c r="G58">
        <v>-0.34100000000000108</v>
      </c>
      <c r="H58">
        <v>-0.40700000000000003</v>
      </c>
    </row>
    <row r="59" spans="2:8" x14ac:dyDescent="0.2">
      <c r="B59">
        <v>4</v>
      </c>
      <c r="C59">
        <v>0</v>
      </c>
      <c r="D59">
        <v>-0.25</v>
      </c>
      <c r="E59">
        <v>-0.24500000000000011</v>
      </c>
      <c r="F59">
        <v>-0.24599999999999955</v>
      </c>
      <c r="G59">
        <v>-0.23399999999999999</v>
      </c>
      <c r="H59">
        <v>-0.23200000000000021</v>
      </c>
    </row>
    <row r="60" spans="2:8" x14ac:dyDescent="0.2">
      <c r="B60">
        <v>5</v>
      </c>
      <c r="C60">
        <v>0</v>
      </c>
      <c r="D60">
        <v>-0.24000000000000021</v>
      </c>
      <c r="E60">
        <v>-0.24000000000000021</v>
      </c>
      <c r="F60">
        <v>-0.24000000000000021</v>
      </c>
      <c r="G60">
        <v>-0.24000000000000021</v>
      </c>
      <c r="H60">
        <v>-0.24000000000000021</v>
      </c>
    </row>
    <row r="61" spans="2:8" x14ac:dyDescent="0.2">
      <c r="B61" t="s">
        <v>16</v>
      </c>
      <c r="C61">
        <v>0</v>
      </c>
      <c r="D61">
        <v>-2.3999999999999799E-2</v>
      </c>
      <c r="E61">
        <v>-1.7000000000000126E-2</v>
      </c>
      <c r="F61">
        <v>8.0000000000004512E-3</v>
      </c>
      <c r="G61">
        <v>1.2000000000000455E-2</v>
      </c>
      <c r="H61">
        <v>3.8999999999999924E-2</v>
      </c>
    </row>
    <row r="62" spans="2:8" x14ac:dyDescent="0.2">
      <c r="B62">
        <v>7</v>
      </c>
      <c r="C62">
        <v>0</v>
      </c>
      <c r="D62">
        <v>-0.24699999999999989</v>
      </c>
      <c r="E62">
        <v>-0.24199999999999999</v>
      </c>
      <c r="F62">
        <v>-0.24399999999999955</v>
      </c>
      <c r="G62">
        <v>-0.23199999999999954</v>
      </c>
      <c r="H62">
        <v>-0.21799999999999997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56"/>
  <sheetViews>
    <sheetView topLeftCell="A19" zoomScale="80" zoomScaleNormal="80" workbookViewId="0">
      <selection activeCell="L46" sqref="L46"/>
    </sheetView>
  </sheetViews>
  <sheetFormatPr defaultRowHeight="12.75" x14ac:dyDescent="0.2"/>
  <cols>
    <col min="1" max="1" width="11" bestFit="1" customWidth="1"/>
    <col min="2" max="2" width="9.28515625" bestFit="1" customWidth="1"/>
    <col min="3" max="3" width="15" bestFit="1" customWidth="1"/>
    <col min="4" max="4" width="10" bestFit="1" customWidth="1"/>
    <col min="5" max="5" width="15" bestFit="1" customWidth="1"/>
    <col min="6" max="6" width="9.28515625" bestFit="1" customWidth="1"/>
    <col min="7" max="7" width="15" bestFit="1" customWidth="1"/>
    <col min="8" max="8" width="9.28515625" bestFit="1" customWidth="1"/>
    <col min="9" max="9" width="15" bestFit="1" customWidth="1"/>
    <col min="10" max="10" width="9.28515625" bestFit="1" customWidth="1"/>
    <col min="11" max="11" width="15" bestFit="1" customWidth="1"/>
    <col min="12" max="12" width="9.28515625" bestFit="1" customWidth="1"/>
    <col min="13" max="13" width="12.42578125" bestFit="1" customWidth="1"/>
  </cols>
  <sheetData>
    <row r="6" spans="1:15" ht="18" x14ac:dyDescent="0.25">
      <c r="N6" s="29" t="s">
        <v>43</v>
      </c>
      <c r="O6" s="29"/>
    </row>
    <row r="7" spans="1:15" ht="18" x14ac:dyDescent="0.25">
      <c r="A7" s="3"/>
      <c r="B7" s="31" t="s">
        <v>38</v>
      </c>
      <c r="C7" s="31" t="s">
        <v>39</v>
      </c>
      <c r="D7" s="31" t="s">
        <v>38</v>
      </c>
      <c r="E7" s="31" t="s">
        <v>39</v>
      </c>
      <c r="F7" s="32" t="s">
        <v>41</v>
      </c>
      <c r="G7" s="32" t="s">
        <v>39</v>
      </c>
      <c r="H7" s="32" t="s">
        <v>41</v>
      </c>
      <c r="I7" s="32" t="s">
        <v>39</v>
      </c>
      <c r="J7" s="32" t="s">
        <v>41</v>
      </c>
      <c r="K7" s="32" t="s">
        <v>39</v>
      </c>
      <c r="L7" s="32" t="s">
        <v>38</v>
      </c>
      <c r="M7" s="32" t="s">
        <v>39</v>
      </c>
      <c r="N7" s="34" t="s">
        <v>41</v>
      </c>
      <c r="O7" s="34" t="s">
        <v>39</v>
      </c>
    </row>
    <row r="8" spans="1:15" ht="18" x14ac:dyDescent="0.25">
      <c r="A8" s="3"/>
      <c r="C8">
        <v>0</v>
      </c>
      <c r="E8" s="35">
        <v>0.01</v>
      </c>
      <c r="F8" s="29"/>
      <c r="G8" s="35">
        <v>0.03</v>
      </c>
      <c r="H8" s="29"/>
      <c r="I8" s="35">
        <v>0.05</v>
      </c>
      <c r="J8" s="29"/>
      <c r="K8" s="35">
        <v>0.1</v>
      </c>
      <c r="L8" s="29"/>
      <c r="M8" s="35">
        <v>0.15</v>
      </c>
      <c r="N8" s="36"/>
      <c r="O8" s="34" t="s">
        <v>5</v>
      </c>
    </row>
    <row r="9" spans="1:15" ht="15.75" x14ac:dyDescent="0.25">
      <c r="A9" s="3">
        <v>20</v>
      </c>
      <c r="B9" s="43">
        <v>1784.5620015827599</v>
      </c>
      <c r="C9" s="28">
        <v>9.5654274509803925E-12</v>
      </c>
      <c r="D9" s="28">
        <v>820.07630303447172</v>
      </c>
      <c r="E9" s="28">
        <v>8.3171699999999998E-12</v>
      </c>
      <c r="F9" s="28">
        <v>334.55123569730051</v>
      </c>
      <c r="G9" s="28">
        <v>7.2899999999999998E-12</v>
      </c>
      <c r="H9" s="28">
        <v>128.27217418482584</v>
      </c>
      <c r="I9">
        <v>5.8900000000000001E-12</v>
      </c>
      <c r="J9" s="28">
        <v>20.057074590495439</v>
      </c>
      <c r="K9" s="11">
        <v>3.5366666666666665E-12</v>
      </c>
      <c r="L9" s="41">
        <v>5.7601908946153069</v>
      </c>
      <c r="M9" s="11">
        <v>1.8474000000000004E-12</v>
      </c>
      <c r="N9" s="28">
        <v>4.9843513501258805</v>
      </c>
      <c r="O9" s="28">
        <v>1.3196283185840709E-12</v>
      </c>
    </row>
    <row r="10" spans="1:15" ht="15.75" x14ac:dyDescent="0.25">
      <c r="A10" s="3">
        <v>30</v>
      </c>
      <c r="B10" s="43">
        <v>3535.6068204613839</v>
      </c>
      <c r="C10" s="28">
        <v>1.6062588235294118E-11</v>
      </c>
      <c r="D10" s="28">
        <v>1573.7340767214114</v>
      </c>
      <c r="E10" s="28">
        <v>1.68E-11</v>
      </c>
      <c r="F10" s="28">
        <v>731.34231583168992</v>
      </c>
      <c r="G10" s="28">
        <v>1.42E-11</v>
      </c>
      <c r="H10" s="28">
        <v>310.05670186714997</v>
      </c>
      <c r="I10">
        <v>1.2100000000000001E-11</v>
      </c>
      <c r="J10" s="28">
        <v>55.006671029948869</v>
      </c>
      <c r="K10" s="11">
        <v>7.4381666666666656E-12</v>
      </c>
      <c r="L10" s="41">
        <v>18.93243659120407</v>
      </c>
      <c r="M10" s="11">
        <v>4.5252000000000001E-12</v>
      </c>
      <c r="N10" s="28">
        <v>11.463406538430213</v>
      </c>
      <c r="O10" s="28">
        <v>2.8922248995983937E-12</v>
      </c>
    </row>
    <row r="11" spans="1:15" ht="15.75" x14ac:dyDescent="0.25">
      <c r="A11" s="3">
        <v>40</v>
      </c>
      <c r="B11" s="43">
        <v>6118.601016021883</v>
      </c>
      <c r="C11" s="28">
        <v>3.0483393939393933E-11</v>
      </c>
      <c r="D11" s="28">
        <v>2795.9438690084812</v>
      </c>
      <c r="E11" s="28">
        <v>3.0106700000000001E-11</v>
      </c>
      <c r="F11" s="28">
        <v>1431.3646652223233</v>
      </c>
      <c r="G11" s="28">
        <v>2.5299999999999999E-11</v>
      </c>
      <c r="H11" s="28">
        <v>645.27227591989833</v>
      </c>
      <c r="I11">
        <v>2.0599999999999999E-11</v>
      </c>
      <c r="J11" s="28">
        <v>126.5102480194968</v>
      </c>
      <c r="K11" s="11">
        <v>1.3821666666666668E-11</v>
      </c>
      <c r="L11" s="41">
        <v>47.98465795534527</v>
      </c>
      <c r="M11" s="11">
        <v>8.6936666666666664E-12</v>
      </c>
      <c r="N11" s="28">
        <v>25.022807585062353</v>
      </c>
      <c r="O11" s="28">
        <v>6.0412862745098045E-12</v>
      </c>
    </row>
    <row r="12" spans="1:15" ht="15.75" x14ac:dyDescent="0.25">
      <c r="A12" s="3">
        <v>50</v>
      </c>
      <c r="B12" s="43">
        <v>9849.1313623895148</v>
      </c>
      <c r="C12" s="28">
        <v>4.5985212121212116E-11</v>
      </c>
      <c r="D12" s="28">
        <v>4401.9523217277028</v>
      </c>
      <c r="E12" s="28">
        <v>4.6361700000000001E-11</v>
      </c>
      <c r="F12" s="28">
        <v>2525.8434062682413</v>
      </c>
      <c r="G12" s="28">
        <v>3.9999999999999998E-11</v>
      </c>
      <c r="H12" s="28">
        <v>1247.5694502288738</v>
      </c>
      <c r="I12">
        <v>3.3000000000000002E-11</v>
      </c>
      <c r="J12" s="28">
        <v>260.48104672467906</v>
      </c>
      <c r="K12" s="11">
        <v>2.2716666666666668E-11</v>
      </c>
      <c r="L12" s="41">
        <v>104.8033031791342</v>
      </c>
      <c r="M12" s="11">
        <v>1.5045000000000001E-11</v>
      </c>
      <c r="N12" s="28">
        <v>47.592179738024015</v>
      </c>
      <c r="O12" s="28">
        <v>1.1162363636363635E-11</v>
      </c>
    </row>
    <row r="13" spans="1:15" ht="15.75" x14ac:dyDescent="0.25">
      <c r="A13" s="3">
        <v>60</v>
      </c>
      <c r="B13" s="43">
        <v>14616.970866970865</v>
      </c>
      <c r="C13" s="28">
        <v>7.2766400000000001E-11</v>
      </c>
      <c r="D13" s="28">
        <v>6439.5735968619647</v>
      </c>
      <c r="E13" s="28">
        <v>6.6053299999999999E-11</v>
      </c>
      <c r="F13" s="28">
        <v>4236.1327678197304</v>
      </c>
      <c r="G13" s="28">
        <v>5.6300000000000002E-11</v>
      </c>
      <c r="H13" s="28">
        <v>2120.184773162413</v>
      </c>
      <c r="I13">
        <v>5.2599999999999998E-11</v>
      </c>
      <c r="J13" s="28">
        <v>499.40627578654124</v>
      </c>
      <c r="K13" s="11">
        <v>3.597E-11</v>
      </c>
      <c r="L13" s="41">
        <v>205.87406371551202</v>
      </c>
      <c r="M13" s="11">
        <v>2.4268333333333335E-11</v>
      </c>
      <c r="N13" s="28">
        <v>81.416601390965837</v>
      </c>
      <c r="O13" s="28">
        <v>1.8313939393939392E-11</v>
      </c>
    </row>
    <row r="14" spans="1:15" ht="15" x14ac:dyDescent="0.25">
      <c r="A14" s="3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15" ht="18" x14ac:dyDescent="0.25">
      <c r="A15" s="3"/>
      <c r="N15" s="29" t="s">
        <v>43</v>
      </c>
      <c r="O15" s="29"/>
    </row>
    <row r="16" spans="1:15" ht="18" x14ac:dyDescent="0.25">
      <c r="A16" s="3"/>
      <c r="B16" s="33" t="s">
        <v>38</v>
      </c>
      <c r="C16" s="33" t="s">
        <v>40</v>
      </c>
      <c r="D16" s="33" t="s">
        <v>38</v>
      </c>
      <c r="E16" s="33" t="s">
        <v>40</v>
      </c>
      <c r="F16" s="33" t="s">
        <v>41</v>
      </c>
      <c r="G16" s="33" t="s">
        <v>42</v>
      </c>
      <c r="H16" s="33" t="s">
        <v>41</v>
      </c>
      <c r="I16" s="33" t="s">
        <v>42</v>
      </c>
      <c r="J16" s="33" t="s">
        <v>41</v>
      </c>
      <c r="K16" s="33" t="s">
        <v>42</v>
      </c>
      <c r="L16" s="33" t="s">
        <v>38</v>
      </c>
      <c r="M16" s="33" t="s">
        <v>42</v>
      </c>
      <c r="N16" s="34" t="s">
        <v>41</v>
      </c>
      <c r="O16" s="34" t="s">
        <v>42</v>
      </c>
    </row>
    <row r="17" spans="1:15" ht="18" x14ac:dyDescent="0.25">
      <c r="A17" s="3"/>
      <c r="C17">
        <v>0</v>
      </c>
      <c r="E17" s="35">
        <v>0.01</v>
      </c>
      <c r="F17" s="29"/>
      <c r="G17" s="35">
        <v>0.03</v>
      </c>
      <c r="H17" s="29"/>
      <c r="I17" s="35">
        <v>0.05</v>
      </c>
      <c r="J17" s="29"/>
      <c r="K17" s="35">
        <v>0.1</v>
      </c>
      <c r="L17" s="29"/>
      <c r="M17" s="35">
        <v>0.15</v>
      </c>
      <c r="N17" s="36"/>
      <c r="O17" s="34" t="s">
        <v>5</v>
      </c>
    </row>
    <row r="18" spans="1:15" ht="15.75" x14ac:dyDescent="0.25">
      <c r="A18" s="3">
        <v>20</v>
      </c>
      <c r="B18" s="43">
        <v>1784.5620015827599</v>
      </c>
      <c r="C18">
        <v>7.7200000000000002E-12</v>
      </c>
      <c r="D18" s="28">
        <v>820.07630303447172</v>
      </c>
      <c r="E18" s="28">
        <v>7.0200000000000004E-12</v>
      </c>
      <c r="F18" s="28">
        <v>334.55123569730051</v>
      </c>
      <c r="G18" s="28">
        <v>6.1900000000000001E-12</v>
      </c>
      <c r="H18" s="21">
        <v>128.27217418482584</v>
      </c>
      <c r="I18" s="28">
        <v>1.0199999999999999E-11</v>
      </c>
      <c r="J18" s="28">
        <v>20.906190197021036</v>
      </c>
      <c r="K18" s="28">
        <v>2.9200000000000001E-12</v>
      </c>
      <c r="L18" s="41">
        <v>6.0980686491536344</v>
      </c>
      <c r="M18" s="28">
        <v>1.6E-12</v>
      </c>
      <c r="N18" s="28">
        <v>4.9843513501258805</v>
      </c>
      <c r="O18" s="28">
        <v>9.9472566371681425E-13</v>
      </c>
    </row>
    <row r="19" spans="1:15" ht="15.75" x14ac:dyDescent="0.25">
      <c r="A19" s="3">
        <v>30</v>
      </c>
      <c r="B19" s="43">
        <v>3535.6068204613839</v>
      </c>
      <c r="C19">
        <v>1.37E-11</v>
      </c>
      <c r="D19" s="28">
        <v>1573.7340767214114</v>
      </c>
      <c r="E19" s="28">
        <v>1.44E-11</v>
      </c>
      <c r="F19" s="28">
        <v>731.34231583168992</v>
      </c>
      <c r="G19" s="28">
        <v>1.2200000000000001E-11</v>
      </c>
      <c r="H19" s="21">
        <v>310.05670186714997</v>
      </c>
      <c r="I19" s="28">
        <v>1.7799999999999999E-11</v>
      </c>
      <c r="J19" s="28">
        <v>55.476839234905</v>
      </c>
      <c r="K19" s="28">
        <v>6.1799999999999999E-12</v>
      </c>
      <c r="L19" s="41">
        <v>18.311459159080638</v>
      </c>
      <c r="M19" s="28">
        <v>3.7399999999999998E-12</v>
      </c>
      <c r="N19" s="28">
        <v>11.463406538430213</v>
      </c>
      <c r="O19" s="28">
        <v>2.1468915662650604E-12</v>
      </c>
    </row>
    <row r="20" spans="1:15" ht="15.75" x14ac:dyDescent="0.25">
      <c r="A20" s="3">
        <v>40</v>
      </c>
      <c r="B20" s="43">
        <v>6118.601016021883</v>
      </c>
      <c r="C20">
        <v>2.5699999999999999E-11</v>
      </c>
      <c r="D20" s="28">
        <v>2795.9438690084812</v>
      </c>
      <c r="E20" s="28">
        <v>2.6400000000000001E-11</v>
      </c>
      <c r="F20" s="28">
        <v>1431.3646652223233</v>
      </c>
      <c r="G20" s="28">
        <v>2.21E-11</v>
      </c>
      <c r="H20" s="21">
        <v>645.27227591989833</v>
      </c>
      <c r="I20" s="28">
        <v>2.8899999999999998E-11</v>
      </c>
      <c r="J20" s="28">
        <v>128.17271375098093</v>
      </c>
      <c r="K20" s="28">
        <v>1.1600000000000001E-11</v>
      </c>
      <c r="L20" s="41">
        <v>47.337149160615496</v>
      </c>
      <c r="M20" s="28">
        <v>7.1799999999999997E-12</v>
      </c>
      <c r="N20" s="28">
        <v>25.022807585062353</v>
      </c>
      <c r="O20" s="28">
        <v>4.6070588235294119E-12</v>
      </c>
    </row>
    <row r="21" spans="1:15" ht="15.75" x14ac:dyDescent="0.25">
      <c r="A21" s="3">
        <v>50</v>
      </c>
      <c r="B21" s="43">
        <v>9849.1313623895148</v>
      </c>
      <c r="C21">
        <v>3.8699999999999999E-11</v>
      </c>
      <c r="D21" s="28">
        <v>4401.9523217277028</v>
      </c>
      <c r="E21" s="28">
        <v>4.1000000000000001E-11</v>
      </c>
      <c r="F21" s="28">
        <v>2525.8434062682413</v>
      </c>
      <c r="G21" s="28">
        <v>3.5199999999999999E-11</v>
      </c>
      <c r="H21" s="21">
        <v>1247.5694502288738</v>
      </c>
      <c r="I21" s="28">
        <v>4.6800000000000003E-11</v>
      </c>
      <c r="J21" s="28">
        <v>254.74751364586061</v>
      </c>
      <c r="K21" s="28">
        <v>1.9199999999999999E-11</v>
      </c>
      <c r="L21" s="41">
        <v>105.54147287913615</v>
      </c>
      <c r="M21" s="28">
        <v>1.24E-11</v>
      </c>
      <c r="N21" s="28">
        <v>47.592179738024015</v>
      </c>
      <c r="O21" s="28">
        <v>8.4152727272727263E-12</v>
      </c>
    </row>
    <row r="22" spans="1:15" ht="15.75" x14ac:dyDescent="0.25">
      <c r="A22" s="3">
        <v>60</v>
      </c>
      <c r="B22" s="43">
        <v>14616.970866970865</v>
      </c>
      <c r="C22">
        <v>6.5500000000000006E-11</v>
      </c>
      <c r="D22" s="28">
        <v>6439.5735968619647</v>
      </c>
      <c r="E22" s="28">
        <v>5.92E-11</v>
      </c>
      <c r="F22" s="28">
        <v>4236.1327678197304</v>
      </c>
      <c r="G22" s="28">
        <v>5.17E-11</v>
      </c>
      <c r="H22" s="21">
        <v>2120.184773162413</v>
      </c>
      <c r="I22" s="28">
        <v>7.18E-11</v>
      </c>
      <c r="J22" s="28">
        <v>493.93084930596149</v>
      </c>
      <c r="K22" s="28">
        <v>3.0499999999999998E-11</v>
      </c>
      <c r="L22" s="41">
        <v>219.11140932544717</v>
      </c>
      <c r="M22" s="28">
        <v>2.0199999999999999E-11</v>
      </c>
      <c r="N22" s="28">
        <v>81.416601390965837</v>
      </c>
      <c r="O22" s="28">
        <v>1.3350545454545454E-11</v>
      </c>
    </row>
    <row r="32" spans="1:15" ht="15" x14ac:dyDescent="0.25">
      <c r="N32" s="28"/>
    </row>
    <row r="33" spans="14:14" ht="15" x14ac:dyDescent="0.25">
      <c r="N33" s="28"/>
    </row>
    <row r="34" spans="14:14" ht="15" x14ac:dyDescent="0.25">
      <c r="N34" s="28"/>
    </row>
    <row r="35" spans="14:14" ht="15" x14ac:dyDescent="0.25">
      <c r="N35" s="28"/>
    </row>
    <row r="36" spans="14:14" ht="15" x14ac:dyDescent="0.25">
      <c r="N36" s="28"/>
    </row>
    <row r="50" spans="7:8" x14ac:dyDescent="0.2">
      <c r="G50" t="s">
        <v>106</v>
      </c>
    </row>
    <row r="51" spans="7:8" x14ac:dyDescent="0.2">
      <c r="G51">
        <v>0</v>
      </c>
      <c r="H51">
        <v>1.0101</v>
      </c>
    </row>
    <row r="52" spans="7:8" x14ac:dyDescent="0.2">
      <c r="G52">
        <v>1</v>
      </c>
      <c r="H52">
        <v>1.01</v>
      </c>
    </row>
    <row r="53" spans="7:8" x14ac:dyDescent="0.2">
      <c r="G53">
        <v>3</v>
      </c>
      <c r="H53">
        <v>0.84179999999999999</v>
      </c>
    </row>
    <row r="54" spans="7:8" x14ac:dyDescent="0.2">
      <c r="G54">
        <v>5</v>
      </c>
      <c r="H54">
        <v>0.69230000000000003</v>
      </c>
    </row>
    <row r="55" spans="7:8" x14ac:dyDescent="0.2">
      <c r="G55">
        <v>10</v>
      </c>
      <c r="H55">
        <v>0.70499999999999996</v>
      </c>
    </row>
    <row r="56" spans="7:8" x14ac:dyDescent="0.2">
      <c r="G56">
        <v>15</v>
      </c>
      <c r="H56">
        <v>0.93689999999999996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68"/>
  <sheetViews>
    <sheetView topLeftCell="A19" workbookViewId="0">
      <selection activeCell="N55" sqref="N55"/>
    </sheetView>
  </sheetViews>
  <sheetFormatPr defaultRowHeight="12.75" x14ac:dyDescent="0.2"/>
  <cols>
    <col min="12" max="12" width="13.140625" bestFit="1" customWidth="1"/>
    <col min="14" max="14" width="13.140625" bestFit="1" customWidth="1"/>
    <col min="15" max="15" width="9.28515625" bestFit="1" customWidth="1"/>
  </cols>
  <sheetData>
    <row r="5" spans="1:15" x14ac:dyDescent="0.2">
      <c r="B5" s="7">
        <v>0.01</v>
      </c>
      <c r="D5" s="7">
        <v>0.03</v>
      </c>
      <c r="F5" s="7">
        <v>0.05</v>
      </c>
      <c r="H5" s="7">
        <v>0.1</v>
      </c>
      <c r="J5" s="7">
        <v>0.15</v>
      </c>
    </row>
    <row r="6" spans="1:15" x14ac:dyDescent="0.2">
      <c r="A6" s="62"/>
      <c r="B6" s="62" t="s">
        <v>83</v>
      </c>
      <c r="C6" s="62"/>
      <c r="D6" s="62" t="s">
        <v>83</v>
      </c>
      <c r="E6" s="62"/>
      <c r="F6" s="62" t="s">
        <v>86</v>
      </c>
      <c r="G6" s="62"/>
      <c r="H6" s="62" t="s">
        <v>86</v>
      </c>
      <c r="I6" s="62"/>
      <c r="J6" s="62" t="s">
        <v>86</v>
      </c>
    </row>
    <row r="7" spans="1:15" x14ac:dyDescent="0.2">
      <c r="A7" s="62" t="s">
        <v>84</v>
      </c>
      <c r="B7" s="62" t="s">
        <v>85</v>
      </c>
      <c r="C7" s="62" t="s">
        <v>84</v>
      </c>
      <c r="D7" s="62" t="s">
        <v>85</v>
      </c>
      <c r="E7" s="62" t="s">
        <v>84</v>
      </c>
      <c r="F7" s="62" t="s">
        <v>85</v>
      </c>
      <c r="G7" s="62" t="s">
        <v>84</v>
      </c>
      <c r="H7" s="62" t="s">
        <v>85</v>
      </c>
      <c r="I7" s="62" t="s">
        <v>84</v>
      </c>
      <c r="J7" s="62" t="s">
        <v>85</v>
      </c>
      <c r="L7" s="67">
        <v>0.01</v>
      </c>
      <c r="M7" s="67" t="s">
        <v>87</v>
      </c>
      <c r="N7" s="64">
        <f t="array" ref="N7:O8">LINEST(B8:B28,A8:A28,1,1)</f>
        <v>-5.0010544744692784E-6</v>
      </c>
      <c r="O7" s="64">
        <v>0.11037189564934784</v>
      </c>
    </row>
    <row r="8" spans="1:15" x14ac:dyDescent="0.2">
      <c r="A8" s="64">
        <v>1</v>
      </c>
      <c r="B8" s="64">
        <v>0.11053499999999999</v>
      </c>
      <c r="C8" s="64">
        <v>1</v>
      </c>
      <c r="D8" s="64">
        <v>0.21953333333333333</v>
      </c>
      <c r="E8" s="64">
        <v>1</v>
      </c>
      <c r="F8" s="64">
        <v>0.47520000000000001</v>
      </c>
      <c r="G8" s="64">
        <v>1</v>
      </c>
      <c r="H8" s="64">
        <v>2.424666666666667</v>
      </c>
      <c r="I8" s="64">
        <v>1</v>
      </c>
      <c r="J8" s="64">
        <v>6.4409999999999998</v>
      </c>
      <c r="L8" s="67"/>
      <c r="M8" s="67" t="s">
        <v>88</v>
      </c>
      <c r="N8" s="71">
        <v>3.1393283629201187E-6</v>
      </c>
      <c r="O8" s="64">
        <v>1.1276852243865054E-4</v>
      </c>
    </row>
    <row r="9" spans="1:15" x14ac:dyDescent="0.2">
      <c r="A9" s="64">
        <v>1.2589999999999999</v>
      </c>
      <c r="B9" s="64">
        <v>0.11172000000000001</v>
      </c>
      <c r="C9" s="64">
        <v>1.2589999999999999</v>
      </c>
      <c r="D9" s="64">
        <v>0.21870000000000001</v>
      </c>
      <c r="E9" s="64">
        <v>1.2589999999999999</v>
      </c>
      <c r="F9" s="64">
        <v>0.47456666666666664</v>
      </c>
      <c r="G9" s="64">
        <v>1.2589999999999999</v>
      </c>
      <c r="H9" s="64">
        <v>2.4300000000000002</v>
      </c>
      <c r="I9" s="64">
        <v>1.2589999999999999</v>
      </c>
      <c r="J9" s="64">
        <v>6.4283333333333337</v>
      </c>
      <c r="L9" s="67"/>
      <c r="M9" s="67"/>
      <c r="N9" s="64">
        <f>-N8/N7</f>
        <v>0.6277332868391261</v>
      </c>
      <c r="O9" s="64"/>
    </row>
    <row r="10" spans="1:15" x14ac:dyDescent="0.2">
      <c r="A10" s="64">
        <v>1.585</v>
      </c>
      <c r="B10" s="64">
        <v>0.11097499999999999</v>
      </c>
      <c r="C10" s="64">
        <v>1.585</v>
      </c>
      <c r="D10" s="64">
        <v>0.21889999999999998</v>
      </c>
      <c r="E10" s="64">
        <v>1.585</v>
      </c>
      <c r="F10" s="64">
        <v>0.47273333333333339</v>
      </c>
      <c r="G10" s="64">
        <v>1.585</v>
      </c>
      <c r="H10" s="64">
        <v>2.4216666666666669</v>
      </c>
      <c r="I10" s="64">
        <v>1.585</v>
      </c>
      <c r="J10" s="64">
        <v>6.4203333333333328</v>
      </c>
    </row>
    <row r="11" spans="1:15" x14ac:dyDescent="0.2">
      <c r="A11" s="64">
        <v>1.9950000000000001</v>
      </c>
      <c r="B11" s="64">
        <v>0.11019749999999999</v>
      </c>
      <c r="C11" s="64">
        <v>1.9950000000000001</v>
      </c>
      <c r="D11" s="64">
        <v>0.21956666666666666</v>
      </c>
      <c r="E11" s="64">
        <v>1.9950000000000001</v>
      </c>
      <c r="F11" s="64">
        <v>0.47449999999999998</v>
      </c>
      <c r="G11" s="64">
        <v>1.9950000000000001</v>
      </c>
      <c r="H11" s="64">
        <v>2.4213333333333331</v>
      </c>
      <c r="I11" s="64">
        <v>1.9950000000000001</v>
      </c>
      <c r="J11" s="64">
        <v>6.4083333333333341</v>
      </c>
    </row>
    <row r="12" spans="1:15" x14ac:dyDescent="0.2">
      <c r="A12" s="64">
        <v>2.512</v>
      </c>
      <c r="B12" s="64">
        <v>0.11058</v>
      </c>
      <c r="C12" s="64">
        <v>2.512</v>
      </c>
      <c r="D12" s="64">
        <v>0.21883333333333332</v>
      </c>
      <c r="E12" s="64">
        <v>2.512</v>
      </c>
      <c r="F12" s="64">
        <v>0.47320000000000001</v>
      </c>
      <c r="G12" s="64">
        <v>2.512</v>
      </c>
      <c r="H12" s="64">
        <v>2.4186666666666667</v>
      </c>
      <c r="I12" s="64">
        <v>2.512</v>
      </c>
      <c r="J12" s="64">
        <v>6.3870000000000005</v>
      </c>
    </row>
    <row r="13" spans="1:15" x14ac:dyDescent="0.2">
      <c r="A13" s="64">
        <v>3.1619999999999999</v>
      </c>
      <c r="B13" s="64">
        <v>0.11034999999999999</v>
      </c>
      <c r="C13" s="64">
        <v>3.1619999999999999</v>
      </c>
      <c r="D13" s="64">
        <v>0.21906666666666666</v>
      </c>
      <c r="E13" s="64">
        <v>3.1619999999999999</v>
      </c>
      <c r="F13" s="64">
        <v>0.47403333333333331</v>
      </c>
      <c r="G13" s="64">
        <v>3.1619999999999999</v>
      </c>
      <c r="H13" s="64">
        <v>2.4176666666666669</v>
      </c>
      <c r="I13" s="64">
        <v>3.1619999999999999</v>
      </c>
      <c r="J13" s="64">
        <v>6.3709999999999996</v>
      </c>
    </row>
    <row r="14" spans="1:15" x14ac:dyDescent="0.2">
      <c r="A14" s="64">
        <v>3.9809999999999999</v>
      </c>
      <c r="B14" s="64">
        <v>0.1100575</v>
      </c>
      <c r="C14" s="64">
        <v>3.9809999999999999</v>
      </c>
      <c r="D14" s="64">
        <v>0.21866666666666668</v>
      </c>
      <c r="E14" s="64">
        <v>3.9809999999999999</v>
      </c>
      <c r="F14" s="64">
        <v>0.47399999999999998</v>
      </c>
      <c r="G14" s="64">
        <v>3.9809999999999999</v>
      </c>
      <c r="H14" s="64">
        <v>2.4140000000000001</v>
      </c>
      <c r="I14" s="64">
        <v>3.9809999999999999</v>
      </c>
      <c r="J14" s="64">
        <v>6.3526666666666669</v>
      </c>
    </row>
    <row r="15" spans="1:15" x14ac:dyDescent="0.2">
      <c r="A15" s="64">
        <v>5.0119999999999996</v>
      </c>
      <c r="B15" s="64">
        <v>0.11005999999999999</v>
      </c>
      <c r="C15" s="64">
        <v>5.0119999999999996</v>
      </c>
      <c r="D15" s="64">
        <v>0.21873333333333334</v>
      </c>
      <c r="E15" s="64">
        <v>5.0119999999999996</v>
      </c>
      <c r="F15" s="64">
        <v>0.47370000000000001</v>
      </c>
      <c r="G15" s="64">
        <v>5.0119999999999996</v>
      </c>
      <c r="H15" s="64">
        <v>2.4106666666666663</v>
      </c>
      <c r="I15" s="64">
        <v>5.0119999999999996</v>
      </c>
      <c r="J15" s="64">
        <v>6.3306666666666667</v>
      </c>
    </row>
    <row r="16" spans="1:15" x14ac:dyDescent="0.2">
      <c r="A16" s="64">
        <v>6.31</v>
      </c>
      <c r="B16" s="64">
        <v>0.11007</v>
      </c>
      <c r="C16" s="64">
        <v>6.31</v>
      </c>
      <c r="D16" s="64">
        <v>0.21860000000000002</v>
      </c>
      <c r="E16" s="64">
        <v>6.31</v>
      </c>
      <c r="F16" s="64">
        <v>0.4733</v>
      </c>
      <c r="G16" s="64">
        <v>6.31</v>
      </c>
      <c r="H16" s="64">
        <v>2.4053333333333331</v>
      </c>
      <c r="I16" s="64">
        <v>6.31</v>
      </c>
      <c r="J16" s="64">
        <v>6.3066666666666675</v>
      </c>
    </row>
    <row r="17" spans="1:10" x14ac:dyDescent="0.2">
      <c r="A17" s="64">
        <v>7.944</v>
      </c>
      <c r="B17" s="64">
        <v>0.1100225</v>
      </c>
      <c r="C17" s="64">
        <v>7.944</v>
      </c>
      <c r="D17" s="64">
        <v>0.21860000000000002</v>
      </c>
      <c r="E17" s="64">
        <v>7.944</v>
      </c>
      <c r="F17" s="64">
        <v>0.47333333333333333</v>
      </c>
      <c r="G17" s="64">
        <v>7.944</v>
      </c>
      <c r="H17" s="64">
        <v>2.4010000000000002</v>
      </c>
      <c r="I17" s="64">
        <v>7.944</v>
      </c>
      <c r="J17" s="64">
        <v>6.2833333333333323</v>
      </c>
    </row>
    <row r="18" spans="1:10" x14ac:dyDescent="0.2">
      <c r="A18" s="64">
        <v>10</v>
      </c>
      <c r="B18" s="64">
        <v>0.11003499999999999</v>
      </c>
      <c r="C18" s="64">
        <v>10</v>
      </c>
      <c r="D18" s="64">
        <v>0.21859999999999999</v>
      </c>
      <c r="E18" s="64">
        <v>10</v>
      </c>
      <c r="F18" s="64">
        <v>0.47316666666666668</v>
      </c>
      <c r="G18" s="64">
        <v>10</v>
      </c>
      <c r="H18" s="64">
        <v>2.3953333333333333</v>
      </c>
      <c r="I18" s="64">
        <v>10</v>
      </c>
      <c r="J18" s="64">
        <v>6.2536666666666676</v>
      </c>
    </row>
    <row r="19" spans="1:10" x14ac:dyDescent="0.2">
      <c r="A19" s="64">
        <v>12.59</v>
      </c>
      <c r="B19" s="64">
        <v>0.11003499999999999</v>
      </c>
      <c r="C19" s="64">
        <v>12.59</v>
      </c>
      <c r="D19" s="64">
        <v>0.21853333333333333</v>
      </c>
      <c r="E19" s="64">
        <v>12.59</v>
      </c>
      <c r="F19" s="64">
        <v>0.47290000000000004</v>
      </c>
      <c r="G19" s="64">
        <v>12.59</v>
      </c>
      <c r="H19" s="64">
        <v>2.3893333333333331</v>
      </c>
      <c r="I19" s="64">
        <v>12.59</v>
      </c>
      <c r="J19" s="64">
        <v>6.2206666666666663</v>
      </c>
    </row>
    <row r="20" spans="1:10" x14ac:dyDescent="0.2">
      <c r="A20" s="64">
        <v>15.85</v>
      </c>
      <c r="B20" s="64">
        <v>0.11001999999999999</v>
      </c>
      <c r="C20" s="64">
        <v>15.85</v>
      </c>
      <c r="D20" s="64">
        <v>0.21843333333333334</v>
      </c>
      <c r="E20" s="64">
        <v>15.85</v>
      </c>
      <c r="F20" s="64">
        <v>0.47256666666666663</v>
      </c>
      <c r="G20" s="64">
        <v>15.85</v>
      </c>
      <c r="H20" s="64">
        <v>2.3826666666666667</v>
      </c>
      <c r="I20" s="64">
        <v>15.85</v>
      </c>
      <c r="J20" s="64">
        <v>6.1873333333333322</v>
      </c>
    </row>
    <row r="21" spans="1:10" x14ac:dyDescent="0.2">
      <c r="A21" s="64">
        <v>19.95</v>
      </c>
      <c r="B21" s="64">
        <v>0.110065</v>
      </c>
      <c r="C21" s="64">
        <v>19.95</v>
      </c>
      <c r="D21" s="64">
        <v>0.21836666666666668</v>
      </c>
      <c r="E21" s="64">
        <v>19.95</v>
      </c>
      <c r="F21" s="64">
        <v>0.47223333333333334</v>
      </c>
      <c r="G21" s="64">
        <v>19.95</v>
      </c>
      <c r="H21" s="64">
        <v>2.375666666666667</v>
      </c>
      <c r="I21" s="64">
        <v>19.95</v>
      </c>
      <c r="J21" s="64">
        <v>6.149</v>
      </c>
    </row>
    <row r="22" spans="1:10" x14ac:dyDescent="0.2">
      <c r="A22" s="64">
        <v>25.12</v>
      </c>
      <c r="B22" s="64">
        <v>0.11008499999999999</v>
      </c>
      <c r="C22" s="64">
        <v>25.12</v>
      </c>
      <c r="D22" s="64">
        <v>0.21826666666666669</v>
      </c>
      <c r="E22" s="64">
        <v>25.12</v>
      </c>
      <c r="F22" s="64">
        <v>0.47183333333333333</v>
      </c>
      <c r="G22" s="64">
        <v>25.12</v>
      </c>
      <c r="H22" s="64">
        <v>2.3673333333333333</v>
      </c>
      <c r="I22" s="64">
        <v>25.12</v>
      </c>
      <c r="J22" s="64">
        <v>6.1066666666666665</v>
      </c>
    </row>
    <row r="23" spans="1:10" x14ac:dyDescent="0.2">
      <c r="A23" s="64">
        <v>31.62</v>
      </c>
      <c r="B23" s="64">
        <v>0.1101075</v>
      </c>
      <c r="C23" s="64">
        <v>31.62</v>
      </c>
      <c r="D23" s="64">
        <v>0.21816666666666665</v>
      </c>
      <c r="E23" s="64">
        <v>31.62</v>
      </c>
      <c r="F23" s="64">
        <v>0.47136666666666666</v>
      </c>
      <c r="G23" s="64">
        <v>31.62</v>
      </c>
      <c r="H23" s="64">
        <v>2.3580000000000001</v>
      </c>
      <c r="I23" s="64">
        <v>31.62</v>
      </c>
      <c r="J23" s="64">
        <v>6.057666666666667</v>
      </c>
    </row>
    <row r="24" spans="1:10" x14ac:dyDescent="0.2">
      <c r="A24" s="64">
        <v>39.81</v>
      </c>
      <c r="B24" s="64">
        <v>0.110155</v>
      </c>
      <c r="C24" s="64">
        <v>39.81</v>
      </c>
      <c r="D24" s="64">
        <v>0.21809999999999999</v>
      </c>
      <c r="E24" s="64">
        <v>39.81</v>
      </c>
      <c r="F24" s="64">
        <v>0.47069999999999995</v>
      </c>
      <c r="G24" s="64">
        <v>39.81</v>
      </c>
      <c r="H24" s="64">
        <v>2.3473333333333333</v>
      </c>
      <c r="I24" s="64">
        <v>39.81</v>
      </c>
      <c r="J24" s="64">
        <v>6.0030000000000001</v>
      </c>
    </row>
    <row r="25" spans="1:10" x14ac:dyDescent="0.2">
      <c r="A25" s="64">
        <v>50.12</v>
      </c>
      <c r="B25" s="64">
        <v>0.11013249999999999</v>
      </c>
      <c r="C25" s="64">
        <v>50.12</v>
      </c>
      <c r="D25" s="64">
        <v>0.21796666666666667</v>
      </c>
      <c r="E25" s="64">
        <v>50.12</v>
      </c>
      <c r="F25" s="64">
        <v>0.46986666666666665</v>
      </c>
      <c r="G25" s="64">
        <v>50.12</v>
      </c>
      <c r="H25" s="64">
        <v>2.3346666666666667</v>
      </c>
      <c r="I25" s="64">
        <v>50.12</v>
      </c>
      <c r="J25" s="64">
        <v>5.9420000000000002</v>
      </c>
    </row>
    <row r="26" spans="1:10" x14ac:dyDescent="0.2">
      <c r="A26" s="64">
        <v>63.1</v>
      </c>
      <c r="B26" s="64">
        <v>0.11008499999999999</v>
      </c>
      <c r="C26" s="64">
        <v>63.1</v>
      </c>
      <c r="D26" s="64">
        <v>0.21776666666666666</v>
      </c>
      <c r="E26" s="64">
        <v>63.1</v>
      </c>
      <c r="F26" s="64">
        <v>0.46866666666666662</v>
      </c>
      <c r="G26" s="64">
        <v>63.1</v>
      </c>
      <c r="H26" s="64">
        <v>2.3203333333333336</v>
      </c>
      <c r="I26" s="64">
        <v>63.1</v>
      </c>
      <c r="J26" s="64">
        <v>5.8730000000000002</v>
      </c>
    </row>
    <row r="27" spans="1:10" x14ac:dyDescent="0.2">
      <c r="A27" s="64">
        <v>79.44</v>
      </c>
      <c r="B27" s="64">
        <v>0.11007749999999999</v>
      </c>
      <c r="C27" s="64">
        <v>79.44</v>
      </c>
      <c r="D27" s="64">
        <v>0.21740000000000004</v>
      </c>
      <c r="E27" s="64">
        <v>79.44</v>
      </c>
      <c r="F27" s="64">
        <v>0.46710000000000002</v>
      </c>
      <c r="G27" s="64">
        <v>79.44</v>
      </c>
      <c r="H27" s="64">
        <v>2.3049999999999997</v>
      </c>
      <c r="I27" s="64">
        <v>79.44</v>
      </c>
      <c r="J27" s="64">
        <v>5.7950000000000008</v>
      </c>
    </row>
    <row r="28" spans="1:10" x14ac:dyDescent="0.2">
      <c r="A28" s="64">
        <v>100</v>
      </c>
      <c r="B28" s="64">
        <v>0.11003250000000001</v>
      </c>
      <c r="C28" s="64">
        <v>100</v>
      </c>
      <c r="D28" s="64">
        <v>0.21686666666666668</v>
      </c>
      <c r="E28" s="64">
        <v>100</v>
      </c>
      <c r="F28" s="64">
        <v>0.46609999999999996</v>
      </c>
      <c r="G28" s="64">
        <v>100</v>
      </c>
      <c r="H28" s="64">
        <v>2.2873333333333332</v>
      </c>
      <c r="I28" s="64">
        <v>100</v>
      </c>
      <c r="J28" s="64">
        <v>5.7063333333333333</v>
      </c>
    </row>
    <row r="33" spans="1:6" x14ac:dyDescent="0.2">
      <c r="B33">
        <v>1</v>
      </c>
      <c r="C33">
        <v>3</v>
      </c>
      <c r="D33">
        <v>5</v>
      </c>
      <c r="E33">
        <v>10</v>
      </c>
      <c r="F33">
        <v>15</v>
      </c>
    </row>
    <row r="34" spans="1:6" x14ac:dyDescent="0.2">
      <c r="A34" s="64">
        <v>0.1</v>
      </c>
      <c r="B34" s="3">
        <v>0.11161</v>
      </c>
      <c r="C34" s="40">
        <v>0.22186666666666668</v>
      </c>
      <c r="D34">
        <v>0.48849999999999999</v>
      </c>
      <c r="E34">
        <v>2.4580000000000002</v>
      </c>
      <c r="F34">
        <v>6.4980000000000002</v>
      </c>
    </row>
    <row r="35" spans="1:6" x14ac:dyDescent="0.2">
      <c r="A35" s="64">
        <v>0.12590000000000001</v>
      </c>
      <c r="B35" s="3">
        <v>0.1168725</v>
      </c>
      <c r="C35" s="40">
        <v>0.21876666666666666</v>
      </c>
      <c r="D35">
        <v>0.4839</v>
      </c>
      <c r="E35">
        <v>2.4606666666666666</v>
      </c>
      <c r="F35">
        <v>6.4943333333333335</v>
      </c>
    </row>
    <row r="36" spans="1:6" x14ac:dyDescent="0.2">
      <c r="A36" s="64">
        <v>0.1585</v>
      </c>
      <c r="B36" s="3">
        <v>0.12274</v>
      </c>
      <c r="C36" s="40">
        <v>0.21833333333333335</v>
      </c>
      <c r="D36">
        <v>0.48469999999999996</v>
      </c>
      <c r="E36">
        <v>2.464</v>
      </c>
      <c r="F36">
        <v>6.4936666666666669</v>
      </c>
    </row>
    <row r="37" spans="1:6" x14ac:dyDescent="0.2">
      <c r="A37" s="64">
        <v>0.19950000000000001</v>
      </c>
      <c r="B37" s="3">
        <v>0.12392500000000001</v>
      </c>
      <c r="C37" s="40">
        <v>0.219</v>
      </c>
      <c r="D37">
        <v>0.4821333333333333</v>
      </c>
      <c r="E37">
        <v>2.4656666666666669</v>
      </c>
      <c r="F37">
        <v>6.4916666666666671</v>
      </c>
    </row>
    <row r="38" spans="1:6" x14ac:dyDescent="0.2">
      <c r="A38" s="64">
        <v>0.25119999999999998</v>
      </c>
      <c r="B38" s="3">
        <v>0.12432499999999999</v>
      </c>
      <c r="C38" s="40">
        <v>0.21870000000000001</v>
      </c>
      <c r="D38">
        <v>0.47976666666666667</v>
      </c>
      <c r="E38">
        <v>2.4636666666666667</v>
      </c>
      <c r="F38">
        <v>6.4876666666666667</v>
      </c>
    </row>
    <row r="39" spans="1:6" x14ac:dyDescent="0.2">
      <c r="A39" s="64">
        <v>0.31630000000000003</v>
      </c>
      <c r="B39" s="3">
        <v>0.1231275</v>
      </c>
      <c r="C39" s="40">
        <v>0.21953333333333336</v>
      </c>
      <c r="D39">
        <v>0.47749999999999998</v>
      </c>
      <c r="E39">
        <v>2.4590000000000001</v>
      </c>
      <c r="F39">
        <v>6.4819999999999993</v>
      </c>
    </row>
    <row r="40" spans="1:6" x14ac:dyDescent="0.2">
      <c r="A40" s="64">
        <v>0.39810000000000001</v>
      </c>
      <c r="B40" s="3">
        <v>0.12102250000000001</v>
      </c>
      <c r="C40" s="40">
        <v>0.21960000000000002</v>
      </c>
      <c r="D40">
        <v>0.47489999999999993</v>
      </c>
      <c r="E40">
        <v>2.4499999999999997</v>
      </c>
      <c r="F40">
        <v>6.4746666666666668</v>
      </c>
    </row>
    <row r="41" spans="1:6" x14ac:dyDescent="0.2">
      <c r="A41" s="64">
        <v>0.50119999999999998</v>
      </c>
      <c r="B41" s="3">
        <v>0.11766</v>
      </c>
      <c r="C41" s="40">
        <v>0.21893333333333331</v>
      </c>
      <c r="D41">
        <v>0.47160000000000002</v>
      </c>
      <c r="E41">
        <v>2.4353333333333329</v>
      </c>
      <c r="F41">
        <v>6.4683333333333337</v>
      </c>
    </row>
    <row r="42" spans="1:6" x14ac:dyDescent="0.2">
      <c r="A42" s="64">
        <v>0.63100000000000001</v>
      </c>
      <c r="B42" s="3">
        <v>0.11355749999999999</v>
      </c>
      <c r="C42" s="40">
        <v>0.21936666666666668</v>
      </c>
      <c r="D42">
        <v>0.47143333333333332</v>
      </c>
      <c r="E42">
        <v>2.4236666666666666</v>
      </c>
      <c r="F42">
        <v>6.4630000000000001</v>
      </c>
    </row>
    <row r="43" spans="1:6" x14ac:dyDescent="0.2">
      <c r="A43" s="64">
        <v>0.7944</v>
      </c>
      <c r="B43" s="3">
        <v>0.110625</v>
      </c>
      <c r="C43" s="40">
        <v>0.22040000000000001</v>
      </c>
      <c r="D43">
        <v>0.4738</v>
      </c>
      <c r="E43">
        <v>2.4210000000000003</v>
      </c>
      <c r="F43">
        <v>6.4533333333333331</v>
      </c>
    </row>
    <row r="44" spans="1:6" x14ac:dyDescent="0.2">
      <c r="A44" s="64">
        <v>1</v>
      </c>
      <c r="B44" s="3">
        <v>0.11053499999999999</v>
      </c>
      <c r="C44" s="40">
        <v>0.21953333333333333</v>
      </c>
      <c r="D44">
        <v>0.47520000000000001</v>
      </c>
      <c r="E44">
        <v>2.424666666666667</v>
      </c>
      <c r="F44">
        <v>6.4409999999999998</v>
      </c>
    </row>
    <row r="45" spans="1:6" x14ac:dyDescent="0.2">
      <c r="A45" s="64">
        <v>1.2589999999999999</v>
      </c>
      <c r="B45" s="3">
        <v>0.11172000000000001</v>
      </c>
      <c r="C45" s="40">
        <v>0.21870000000000001</v>
      </c>
      <c r="D45">
        <v>0.47456666666666664</v>
      </c>
      <c r="E45">
        <v>2.4300000000000002</v>
      </c>
      <c r="F45">
        <v>6.4283333333333337</v>
      </c>
    </row>
    <row r="46" spans="1:6" x14ac:dyDescent="0.2">
      <c r="A46" s="64">
        <v>1.585</v>
      </c>
      <c r="B46" s="3">
        <v>0.11097499999999999</v>
      </c>
      <c r="C46" s="40">
        <v>0.21889999999999998</v>
      </c>
      <c r="D46">
        <v>0.47273333333333339</v>
      </c>
      <c r="E46">
        <v>2.4216666666666669</v>
      </c>
      <c r="F46">
        <v>6.4203333333333328</v>
      </c>
    </row>
    <row r="47" spans="1:6" x14ac:dyDescent="0.2">
      <c r="A47" s="64">
        <v>1.9950000000000001</v>
      </c>
      <c r="B47" s="3">
        <v>0.11019749999999999</v>
      </c>
      <c r="C47" s="40">
        <v>0.21956666666666666</v>
      </c>
      <c r="D47">
        <v>0.47449999999999998</v>
      </c>
      <c r="E47">
        <v>2.4213333333333331</v>
      </c>
      <c r="F47">
        <v>6.4083333333333341</v>
      </c>
    </row>
    <row r="48" spans="1:6" x14ac:dyDescent="0.2">
      <c r="A48" s="64">
        <v>2.512</v>
      </c>
      <c r="B48" s="3">
        <v>0.11058</v>
      </c>
      <c r="C48" s="40">
        <v>0.21883333333333332</v>
      </c>
      <c r="D48">
        <v>0.47320000000000001</v>
      </c>
      <c r="E48">
        <v>2.4186666666666667</v>
      </c>
      <c r="F48">
        <v>6.3870000000000005</v>
      </c>
    </row>
    <row r="49" spans="1:6" x14ac:dyDescent="0.2">
      <c r="A49" s="64">
        <v>3.1619999999999999</v>
      </c>
      <c r="B49" s="3">
        <v>0.11034999999999999</v>
      </c>
      <c r="C49" s="40">
        <v>0.21906666666666666</v>
      </c>
      <c r="D49">
        <v>0.47403333333333331</v>
      </c>
      <c r="E49">
        <v>2.4176666666666669</v>
      </c>
      <c r="F49">
        <v>6.3709999999999996</v>
      </c>
    </row>
    <row r="50" spans="1:6" x14ac:dyDescent="0.2">
      <c r="A50" s="64">
        <v>3.9809999999999999</v>
      </c>
      <c r="B50" s="3">
        <v>0.1100575</v>
      </c>
      <c r="C50" s="40">
        <v>0.21866666666666668</v>
      </c>
      <c r="D50">
        <v>0.47399999999999998</v>
      </c>
      <c r="E50">
        <v>2.4140000000000001</v>
      </c>
      <c r="F50">
        <v>6.3526666666666669</v>
      </c>
    </row>
    <row r="51" spans="1:6" x14ac:dyDescent="0.2">
      <c r="A51" s="64">
        <v>5.0119999999999996</v>
      </c>
      <c r="B51" s="3">
        <v>0.11005999999999999</v>
      </c>
      <c r="C51" s="40">
        <v>0.21873333333333334</v>
      </c>
      <c r="D51">
        <v>0.47370000000000001</v>
      </c>
      <c r="E51">
        <v>2.4106666666666663</v>
      </c>
      <c r="F51">
        <v>6.3306666666666667</v>
      </c>
    </row>
    <row r="52" spans="1:6" x14ac:dyDescent="0.2">
      <c r="A52" s="64">
        <v>6.31</v>
      </c>
      <c r="B52" s="3">
        <v>0.11007</v>
      </c>
      <c r="C52" s="40">
        <v>0.21860000000000002</v>
      </c>
      <c r="D52">
        <v>0.4733</v>
      </c>
      <c r="E52">
        <v>2.4053333333333331</v>
      </c>
      <c r="F52">
        <v>6.3066666666666675</v>
      </c>
    </row>
    <row r="53" spans="1:6" x14ac:dyDescent="0.2">
      <c r="A53" s="64">
        <v>7.944</v>
      </c>
      <c r="B53" s="3">
        <v>0.1100225</v>
      </c>
      <c r="C53" s="40">
        <v>0.21860000000000002</v>
      </c>
      <c r="D53">
        <v>0.47333333333333333</v>
      </c>
      <c r="E53">
        <v>2.4010000000000002</v>
      </c>
      <c r="F53">
        <v>6.2833333333333323</v>
      </c>
    </row>
    <row r="54" spans="1:6" x14ac:dyDescent="0.2">
      <c r="A54" s="64">
        <v>10</v>
      </c>
      <c r="B54" s="3">
        <v>0.11003499999999999</v>
      </c>
      <c r="C54" s="40">
        <v>0.21859999999999999</v>
      </c>
      <c r="D54">
        <v>0.47316666666666668</v>
      </c>
      <c r="E54">
        <v>2.3953333333333333</v>
      </c>
      <c r="F54">
        <v>6.2536666666666676</v>
      </c>
    </row>
    <row r="55" spans="1:6" x14ac:dyDescent="0.2">
      <c r="A55" s="64">
        <v>12.59</v>
      </c>
      <c r="B55" s="3">
        <v>0.11003499999999999</v>
      </c>
      <c r="C55" s="40">
        <v>0.21853333333333333</v>
      </c>
      <c r="D55">
        <v>0.47290000000000004</v>
      </c>
      <c r="E55">
        <v>2.3893333333333331</v>
      </c>
      <c r="F55">
        <v>6.2206666666666663</v>
      </c>
    </row>
    <row r="56" spans="1:6" x14ac:dyDescent="0.2">
      <c r="A56" s="64">
        <v>15.85</v>
      </c>
      <c r="B56" s="3">
        <v>0.11001999999999999</v>
      </c>
      <c r="C56" s="40">
        <v>0.21843333333333334</v>
      </c>
      <c r="D56">
        <v>0.47256666666666663</v>
      </c>
      <c r="E56">
        <v>2.3826666666666667</v>
      </c>
      <c r="F56">
        <v>6.1873333333333322</v>
      </c>
    </row>
    <row r="57" spans="1:6" x14ac:dyDescent="0.2">
      <c r="A57" s="64">
        <v>19.95</v>
      </c>
      <c r="B57" s="3">
        <v>0.110065</v>
      </c>
      <c r="C57" s="40">
        <v>0.21836666666666668</v>
      </c>
      <c r="D57">
        <v>0.47223333333333334</v>
      </c>
      <c r="E57">
        <v>2.375666666666667</v>
      </c>
      <c r="F57">
        <v>6.149</v>
      </c>
    </row>
    <row r="58" spans="1:6" x14ac:dyDescent="0.2">
      <c r="A58" s="64">
        <v>25.12</v>
      </c>
      <c r="B58" s="3">
        <v>0.11008499999999999</v>
      </c>
      <c r="C58" s="40">
        <v>0.21826666666666669</v>
      </c>
      <c r="D58">
        <v>0.47183333333333333</v>
      </c>
      <c r="E58">
        <v>2.3673333333333333</v>
      </c>
      <c r="F58">
        <v>6.1066666666666665</v>
      </c>
    </row>
    <row r="59" spans="1:6" x14ac:dyDescent="0.2">
      <c r="A59" s="64">
        <v>31.62</v>
      </c>
      <c r="B59" s="3">
        <v>0.1101075</v>
      </c>
      <c r="C59" s="40">
        <v>0.21816666666666665</v>
      </c>
      <c r="D59">
        <v>0.47136666666666666</v>
      </c>
      <c r="E59">
        <v>2.3580000000000001</v>
      </c>
      <c r="F59">
        <v>6.057666666666667</v>
      </c>
    </row>
    <row r="60" spans="1:6" x14ac:dyDescent="0.2">
      <c r="A60" s="64">
        <v>39.81</v>
      </c>
      <c r="B60" s="3">
        <v>0.110155</v>
      </c>
      <c r="C60" s="40">
        <v>0.21809999999999999</v>
      </c>
      <c r="D60">
        <v>0.47069999999999995</v>
      </c>
      <c r="E60">
        <v>2.3473333333333333</v>
      </c>
      <c r="F60">
        <v>6.0030000000000001</v>
      </c>
    </row>
    <row r="61" spans="1:6" x14ac:dyDescent="0.2">
      <c r="A61" s="64">
        <v>50.12</v>
      </c>
      <c r="B61" s="3">
        <v>0.11013249999999999</v>
      </c>
      <c r="C61" s="40">
        <v>0.21796666666666667</v>
      </c>
      <c r="D61">
        <v>0.46986666666666665</v>
      </c>
      <c r="E61">
        <v>2.3346666666666667</v>
      </c>
      <c r="F61">
        <v>5.9420000000000002</v>
      </c>
    </row>
    <row r="62" spans="1:6" x14ac:dyDescent="0.2">
      <c r="A62" s="64">
        <v>63.1</v>
      </c>
      <c r="B62" s="3">
        <v>0.11008499999999999</v>
      </c>
      <c r="C62" s="40">
        <v>0.21776666666666666</v>
      </c>
      <c r="D62">
        <v>0.46866666666666662</v>
      </c>
      <c r="E62">
        <v>2.3203333333333336</v>
      </c>
      <c r="F62">
        <v>5.8730000000000002</v>
      </c>
    </row>
    <row r="63" spans="1:6" x14ac:dyDescent="0.2">
      <c r="A63" s="64">
        <v>79.44</v>
      </c>
      <c r="B63" s="3">
        <v>0.11007749999999999</v>
      </c>
      <c r="C63" s="40">
        <v>0.21740000000000004</v>
      </c>
      <c r="D63">
        <v>0.46710000000000002</v>
      </c>
      <c r="E63">
        <v>2.3049999999999997</v>
      </c>
      <c r="F63">
        <v>5.7950000000000008</v>
      </c>
    </row>
    <row r="64" spans="1:6" x14ac:dyDescent="0.2">
      <c r="A64" s="64">
        <v>100</v>
      </c>
      <c r="B64" s="3">
        <v>0.11003250000000001</v>
      </c>
      <c r="C64" s="40">
        <v>0.21686666666666668</v>
      </c>
      <c r="D64">
        <v>0.46609999999999996</v>
      </c>
      <c r="E64">
        <v>2.2873333333333332</v>
      </c>
      <c r="F64">
        <v>5.7063333333333333</v>
      </c>
    </row>
    <row r="65" spans="1:6" x14ac:dyDescent="0.2">
      <c r="A65" s="64">
        <v>125.9</v>
      </c>
      <c r="B65" s="3">
        <v>0.10797333333333332</v>
      </c>
      <c r="C65" s="40">
        <v>0.21623333333333336</v>
      </c>
      <c r="D65">
        <v>0.46193333333333331</v>
      </c>
      <c r="E65">
        <v>2.2669999999999999</v>
      </c>
      <c r="F65">
        <v>5.6046666666666667</v>
      </c>
    </row>
    <row r="66" spans="1:6" x14ac:dyDescent="0.2">
      <c r="A66" s="64">
        <v>158.5</v>
      </c>
      <c r="B66" s="3">
        <v>0.10785666666666667</v>
      </c>
      <c r="C66" s="40">
        <v>0.21583333333333332</v>
      </c>
      <c r="D66">
        <v>0.45933333333333337</v>
      </c>
      <c r="E66">
        <v>2.2450000000000001</v>
      </c>
      <c r="F66">
        <v>5.4906666666666668</v>
      </c>
    </row>
    <row r="67" spans="1:6" x14ac:dyDescent="0.2">
      <c r="A67" s="64">
        <v>199.5</v>
      </c>
      <c r="B67" s="3">
        <v>0.10793999999999999</v>
      </c>
      <c r="C67" s="40">
        <v>0.21613333333333337</v>
      </c>
      <c r="D67">
        <v>0.45789999999999997</v>
      </c>
      <c r="E67">
        <v>2.218</v>
      </c>
      <c r="F67">
        <v>5.3569999999999993</v>
      </c>
    </row>
    <row r="68" spans="1:6" x14ac:dyDescent="0.2">
      <c r="A68" s="64">
        <v>200</v>
      </c>
      <c r="B68" s="3">
        <v>0.10793666666666668</v>
      </c>
      <c r="C68" s="40">
        <v>0.21583333333333332</v>
      </c>
      <c r="D68">
        <v>0.45689999999999992</v>
      </c>
      <c r="E68">
        <v>2.2133333333333334</v>
      </c>
      <c r="F68">
        <v>5.2903333333333338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3"/>
  <sheetViews>
    <sheetView topLeftCell="H1" workbookViewId="0">
      <selection activeCell="J37" sqref="J37"/>
    </sheetView>
  </sheetViews>
  <sheetFormatPr defaultRowHeight="12.75" x14ac:dyDescent="0.2"/>
  <cols>
    <col min="10" max="10" width="13.140625" bestFit="1" customWidth="1"/>
  </cols>
  <sheetData>
    <row r="2" spans="1:14" x14ac:dyDescent="0.2">
      <c r="J2" s="67">
        <v>0</v>
      </c>
      <c r="K2" s="67"/>
      <c r="L2" s="67"/>
      <c r="M2" s="57">
        <v>0.05</v>
      </c>
      <c r="N2" s="67"/>
    </row>
    <row r="3" spans="1:14" x14ac:dyDescent="0.2">
      <c r="J3" s="67">
        <f t="array" ref="J3:K4">LINEST(B7:B11,A7:A11,1,1)</f>
        <v>1.1859699999999999E-2</v>
      </c>
      <c r="K3" s="67">
        <v>-0.25767699999999993</v>
      </c>
      <c r="L3" s="67"/>
      <c r="M3" s="67">
        <f t="array" ref="M3:N4">LINEST(E7:E11,A7:A11,1,1)</f>
        <v>3.5214000000000001E-3</v>
      </c>
      <c r="N3" s="67">
        <v>-6.853200000000001E-2</v>
      </c>
    </row>
    <row r="4" spans="1:14" x14ac:dyDescent="0.2">
      <c r="A4" t="s">
        <v>44</v>
      </c>
      <c r="C4" t="s">
        <v>46</v>
      </c>
      <c r="D4" t="s">
        <v>48</v>
      </c>
      <c r="J4" s="67">
        <v>1.1056645347180731E-3</v>
      </c>
      <c r="K4" s="67">
        <v>5.7452014507761162E-2</v>
      </c>
      <c r="L4" s="67"/>
      <c r="M4" s="67">
        <v>2.5737036866482256E-4</v>
      </c>
      <c r="N4" s="67">
        <v>1.3373356646706167E-2</v>
      </c>
    </row>
    <row r="5" spans="1:14" x14ac:dyDescent="0.2">
      <c r="A5" s="5" t="s">
        <v>45</v>
      </c>
      <c r="B5" s="5"/>
      <c r="C5" s="5"/>
      <c r="D5" s="5"/>
      <c r="E5" s="5"/>
      <c r="F5" s="5"/>
      <c r="G5" s="5"/>
      <c r="H5" s="3" t="s">
        <v>49</v>
      </c>
      <c r="J5" s="67">
        <f>J4/J3</f>
        <v>9.3228710230281814E-2</v>
      </c>
      <c r="K5" s="67"/>
      <c r="L5" s="67"/>
      <c r="M5" s="67">
        <f>M4/M3</f>
        <v>7.3087513109792279E-2</v>
      </c>
      <c r="N5" s="67"/>
    </row>
    <row r="6" spans="1:14" x14ac:dyDescent="0.2">
      <c r="A6" s="5"/>
      <c r="B6" s="5">
        <v>0</v>
      </c>
      <c r="C6" s="5">
        <v>0.01</v>
      </c>
      <c r="D6" s="5">
        <v>0.03</v>
      </c>
      <c r="E6" s="5">
        <v>0.05</v>
      </c>
      <c r="F6" s="5">
        <v>0.1</v>
      </c>
      <c r="G6" s="5">
        <v>0.15</v>
      </c>
      <c r="H6" s="3" t="s">
        <v>21</v>
      </c>
      <c r="J6" s="67">
        <f>-LOG(J5)</f>
        <v>1.0304503239712206</v>
      </c>
      <c r="K6" s="67"/>
      <c r="L6" s="67"/>
      <c r="M6" s="67">
        <f>LOG(M5)</f>
        <v>-1.1361568152547461</v>
      </c>
      <c r="N6" s="67"/>
    </row>
    <row r="7" spans="1:14" x14ac:dyDescent="0.2">
      <c r="A7" s="6">
        <v>30</v>
      </c>
      <c r="B7">
        <f>128.89/1000</f>
        <v>0.12888999999999998</v>
      </c>
      <c r="C7">
        <f>98.18/1000</f>
        <v>9.8180000000000003E-2</v>
      </c>
      <c r="D7">
        <f>59.98/1000</f>
        <v>5.9979999999999999E-2</v>
      </c>
      <c r="E7">
        <f>44.69/1000</f>
        <v>4.4690000000000001E-2</v>
      </c>
      <c r="F7">
        <f>24.29/1000</f>
        <v>2.4289999999999999E-2</v>
      </c>
      <c r="G7">
        <f>13.32/1000</f>
        <v>1.332E-2</v>
      </c>
      <c r="H7" s="3">
        <f>22.56/1000</f>
        <v>2.256E-2</v>
      </c>
    </row>
    <row r="8" spans="1:14" x14ac:dyDescent="0.2">
      <c r="A8" s="6">
        <v>40</v>
      </c>
      <c r="B8">
        <f>203.08/1000</f>
        <v>0.20308000000000001</v>
      </c>
      <c r="C8">
        <f>153.17/1000</f>
        <v>0.15317</v>
      </c>
      <c r="D8">
        <f>93.94/1000</f>
        <v>9.3939999999999996E-2</v>
      </c>
      <c r="E8">
        <f>68.57/1000</f>
        <v>6.8569999999999992E-2</v>
      </c>
      <c r="F8">
        <f>36.02/1000</f>
        <v>3.6020000000000003E-2</v>
      </c>
      <c r="G8">
        <f>20.07/1000</f>
        <v>2.0070000000000001E-2</v>
      </c>
      <c r="H8" s="3">
        <f>42.57/1000</f>
        <v>4.2570000000000004E-2</v>
      </c>
      <c r="J8" s="57">
        <v>0.01</v>
      </c>
      <c r="K8" s="67"/>
      <c r="L8" s="67"/>
      <c r="M8" s="57">
        <v>0.1</v>
      </c>
      <c r="N8" s="67"/>
    </row>
    <row r="9" spans="1:14" x14ac:dyDescent="0.2">
      <c r="A9" s="6">
        <v>50</v>
      </c>
      <c r="B9">
        <f>304.36/1000</f>
        <v>0.30436000000000002</v>
      </c>
      <c r="C9">
        <f>228.29/1000</f>
        <v>0.22828999999999999</v>
      </c>
      <c r="D9">
        <f>139.03/1000</f>
        <v>0.13903000000000001</v>
      </c>
      <c r="E9">
        <f>99.67/1000</f>
        <v>9.9670000000000009E-2</v>
      </c>
      <c r="F9">
        <f>52.82/1000</f>
        <v>5.2819999999999999E-2</v>
      </c>
      <c r="G9">
        <f>28.96/1000</f>
        <v>2.896E-2</v>
      </c>
      <c r="H9" s="3">
        <f>72.08/1000</f>
        <v>7.2080000000000005E-2</v>
      </c>
      <c r="J9" s="67">
        <f t="array" ref="J9:K10">LINEST(C7:C11,A7:A11,1,1)</f>
        <v>8.6020999999999979E-3</v>
      </c>
      <c r="K9" s="67">
        <v>-0.18109099999999989</v>
      </c>
      <c r="L9" s="67"/>
      <c r="M9" s="67">
        <f t="array" ref="M9:N10">LINEST(F7:F11,A7:A11,1,1)</f>
        <v>1.7953000000000001E-3</v>
      </c>
      <c r="N9" s="67">
        <v>-3.3487000000000003E-2</v>
      </c>
    </row>
    <row r="10" spans="1:14" x14ac:dyDescent="0.2">
      <c r="A10" s="6">
        <v>60</v>
      </c>
      <c r="B10">
        <f>433.59/1000</f>
        <v>0.43358999999999998</v>
      </c>
      <c r="C10">
        <f>321.12/1000</f>
        <v>0.32112000000000002</v>
      </c>
      <c r="D10">
        <f>193.59/1000</f>
        <v>0.19359000000000001</v>
      </c>
      <c r="E10">
        <f>139.43/1000</f>
        <v>0.13943</v>
      </c>
      <c r="F10">
        <f>72.39/1000</f>
        <v>7.2389999999999996E-2</v>
      </c>
      <c r="G10">
        <f>41.51/1000</f>
        <v>4.1509999999999998E-2</v>
      </c>
      <c r="H10" s="3">
        <f>115.35/1000</f>
        <v>0.11534999999999999</v>
      </c>
      <c r="J10" s="67">
        <v>7.5501225376369387E-4</v>
      </c>
      <c r="K10" s="67">
        <v>3.9231587515674127E-2</v>
      </c>
      <c r="L10" s="67"/>
      <c r="M10" s="67">
        <v>1.2857862704716258E-4</v>
      </c>
      <c r="N10" s="67">
        <v>6.681141444394063E-3</v>
      </c>
    </row>
    <row r="11" spans="1:14" x14ac:dyDescent="0.2">
      <c r="A11" s="6">
        <v>70</v>
      </c>
      <c r="B11">
        <f>606.62/1000</f>
        <v>0.60662000000000005</v>
      </c>
      <c r="C11">
        <f>444.31/1000</f>
        <v>0.44430999999999998</v>
      </c>
      <c r="D11">
        <f>264.02/1000</f>
        <v>0.26401999999999998</v>
      </c>
      <c r="E11">
        <f>185.33/1000</f>
        <v>0.18533000000000002</v>
      </c>
      <c r="F11">
        <f>95.87/1000</f>
        <v>9.5870000000000011E-2</v>
      </c>
      <c r="G11">
        <f>56.33/1000</f>
        <v>5.6329999999999998E-2</v>
      </c>
      <c r="H11" s="3">
        <f>174.98/1000</f>
        <v>0.17498</v>
      </c>
      <c r="J11" s="67">
        <f>J10/J9</f>
        <v>8.7770690152834077E-2</v>
      </c>
      <c r="K11" s="67"/>
      <c r="L11" s="67"/>
      <c r="M11" s="67">
        <f>M10/M9</f>
        <v>7.1619577255702435E-2</v>
      </c>
      <c r="N11" s="67"/>
    </row>
    <row r="12" spans="1:14" x14ac:dyDescent="0.2">
      <c r="J12" s="67">
        <f>LOG(J11)</f>
        <v>-1.0566504867136031</v>
      </c>
      <c r="K12" s="67"/>
      <c r="L12" s="67"/>
      <c r="M12" s="67">
        <f>LOG(M11)</f>
        <v>-1.1449682467988092</v>
      </c>
      <c r="N12" s="67"/>
    </row>
    <row r="13" spans="1:14" x14ac:dyDescent="0.2">
      <c r="J13" s="64"/>
      <c r="K13" s="64"/>
      <c r="L13" s="64"/>
      <c r="M13" s="64"/>
      <c r="N13" s="64"/>
    </row>
    <row r="14" spans="1:14" x14ac:dyDescent="0.2">
      <c r="A14" t="s">
        <v>47</v>
      </c>
      <c r="H14" t="s">
        <v>49</v>
      </c>
      <c r="J14" s="57">
        <v>0.03</v>
      </c>
      <c r="K14" s="67"/>
      <c r="L14" s="67"/>
      <c r="M14" s="57">
        <v>0.15</v>
      </c>
      <c r="N14" s="67"/>
    </row>
    <row r="15" spans="1:14" x14ac:dyDescent="0.2">
      <c r="B15" s="5">
        <v>0</v>
      </c>
      <c r="C15" s="5">
        <v>0.01</v>
      </c>
      <c r="D15" s="5">
        <v>0.03</v>
      </c>
      <c r="E15" s="5">
        <v>0.05</v>
      </c>
      <c r="F15" s="5">
        <v>0.1</v>
      </c>
      <c r="G15" s="5">
        <v>0.15</v>
      </c>
      <c r="H15" t="s">
        <v>21</v>
      </c>
      <c r="J15" s="67">
        <f t="array" ref="J15:K16">LINEST(D7:D11,A7:A11,1,1)</f>
        <v>5.0772999999999981E-3</v>
      </c>
      <c r="K15" s="67">
        <v>-0.10375299999999987</v>
      </c>
      <c r="L15" s="67"/>
      <c r="M15" s="67">
        <f t="array" ref="M15:N16">LINEST(G7:G11,A7:A11,1,1)</f>
        <v>1.0746000000000002E-3</v>
      </c>
      <c r="N15" s="67">
        <v>-2.1692000000000017E-2</v>
      </c>
    </row>
    <row r="16" spans="1:14" x14ac:dyDescent="0.2">
      <c r="A16">
        <f>1/(A7+273)</f>
        <v>3.3003300330033004E-3</v>
      </c>
      <c r="B16">
        <f>LN(B7)</f>
        <v>-2.0487959515654492</v>
      </c>
      <c r="C16">
        <f t="shared" ref="C16:G16" si="0">LN(C7)</f>
        <v>-2.3209527503522307</v>
      </c>
      <c r="D16">
        <f t="shared" si="0"/>
        <v>-2.8137441056612742</v>
      </c>
      <c r="E16">
        <f t="shared" si="0"/>
        <v>-3.1080055160367768</v>
      </c>
      <c r="F16">
        <f t="shared" si="0"/>
        <v>-3.7176905359680559</v>
      </c>
      <c r="G16">
        <f t="shared" si="0"/>
        <v>-4.3184886138698939</v>
      </c>
      <c r="H16">
        <f>LN(H7)</f>
        <v>-3.791576852352279</v>
      </c>
      <c r="J16" s="67">
        <v>4.0343334434988506E-4</v>
      </c>
      <c r="K16" s="67">
        <v>2.0963011496442942E-2</v>
      </c>
      <c r="L16" s="67"/>
      <c r="M16" s="67">
        <v>9.6825478740532577E-5</v>
      </c>
      <c r="N16" s="67">
        <v>5.0311994593734777E-3</v>
      </c>
    </row>
    <row r="17" spans="1:14" x14ac:dyDescent="0.2">
      <c r="A17">
        <f t="shared" ref="A17:A20" si="1">1/(A8+273)</f>
        <v>3.1948881789137379E-3</v>
      </c>
      <c r="B17">
        <f t="shared" ref="B17:H17" si="2">LN(B8)</f>
        <v>-1.5941552889029433</v>
      </c>
      <c r="C17">
        <f t="shared" si="2"/>
        <v>-1.8762068633056743</v>
      </c>
      <c r="D17">
        <f t="shared" si="2"/>
        <v>-2.3650989983832882</v>
      </c>
      <c r="E17">
        <f t="shared" si="2"/>
        <v>-2.6799001576858643</v>
      </c>
      <c r="F17">
        <f t="shared" si="2"/>
        <v>-3.3236809392343267</v>
      </c>
      <c r="G17">
        <f t="shared" si="2"/>
        <v>-3.9085291161738902</v>
      </c>
      <c r="H17">
        <f t="shared" si="2"/>
        <v>-3.156605499142076</v>
      </c>
      <c r="J17" s="67">
        <f>J16/J15</f>
        <v>7.9458244411377152E-2</v>
      </c>
      <c r="K17" s="67"/>
      <c r="L17" s="67"/>
      <c r="M17" s="67">
        <f>M16/M15</f>
        <v>9.0103739754822776E-2</v>
      </c>
      <c r="N17" s="67"/>
    </row>
    <row r="18" spans="1:14" x14ac:dyDescent="0.2">
      <c r="A18">
        <f t="shared" si="1"/>
        <v>3.0959752321981426E-3</v>
      </c>
      <c r="B18">
        <f t="shared" ref="B18:H18" si="3">LN(B9)</f>
        <v>-1.1895440676738149</v>
      </c>
      <c r="C18">
        <f t="shared" si="3"/>
        <v>-1.4771385284206162</v>
      </c>
      <c r="D18">
        <f t="shared" si="3"/>
        <v>-1.9730655418006851</v>
      </c>
      <c r="E18">
        <f t="shared" si="3"/>
        <v>-2.305890550002772</v>
      </c>
      <c r="F18">
        <f t="shared" si="3"/>
        <v>-2.940865372113151</v>
      </c>
      <c r="G18">
        <f t="shared" si="3"/>
        <v>-3.5418397114646214</v>
      </c>
      <c r="H18">
        <f t="shared" si="3"/>
        <v>-2.6299786656820543</v>
      </c>
      <c r="J18" s="67">
        <f>LOG(J17)</f>
        <v>-1.0998610346855668</v>
      </c>
      <c r="K18" s="67"/>
      <c r="L18" s="67"/>
      <c r="M18" s="67">
        <f>LOG(M17)</f>
        <v>-1.045257183258701</v>
      </c>
      <c r="N18" s="67"/>
    </row>
    <row r="19" spans="1:14" x14ac:dyDescent="0.2">
      <c r="A19">
        <f t="shared" si="1"/>
        <v>3.003003003003003E-3</v>
      </c>
      <c r="B19">
        <f t="shared" ref="B19:H19" si="4">LN(B10)</f>
        <v>-0.83565589185327682</v>
      </c>
      <c r="C19">
        <f t="shared" si="4"/>
        <v>-1.1359403939341091</v>
      </c>
      <c r="D19">
        <f t="shared" si="4"/>
        <v>-1.6420127583662789</v>
      </c>
      <c r="E19">
        <f t="shared" si="4"/>
        <v>-1.9701925957752073</v>
      </c>
      <c r="F19">
        <f t="shared" si="4"/>
        <v>-2.6256871106770872</v>
      </c>
      <c r="G19">
        <f t="shared" si="4"/>
        <v>-3.1818209169171898</v>
      </c>
      <c r="H19">
        <f t="shared" si="4"/>
        <v>-2.1597842943623746</v>
      </c>
      <c r="J19" s="67"/>
      <c r="K19" s="67"/>
      <c r="L19" s="67"/>
      <c r="M19" s="67"/>
      <c r="N19" s="67"/>
    </row>
    <row r="20" spans="1:14" x14ac:dyDescent="0.2">
      <c r="A20">
        <f t="shared" si="1"/>
        <v>2.9154518950437317E-3</v>
      </c>
      <c r="B20">
        <f t="shared" ref="B20:F20" si="5">LN(B11)</f>
        <v>-0.49985271361506034</v>
      </c>
      <c r="C20">
        <f t="shared" si="5"/>
        <v>-0.81123276197868277</v>
      </c>
      <c r="D20">
        <f t="shared" si="5"/>
        <v>-1.3317304211295236</v>
      </c>
      <c r="E20">
        <f t="shared" si="5"/>
        <v>-1.6856172591729182</v>
      </c>
      <c r="F20">
        <f t="shared" si="5"/>
        <v>-2.3447621718932319</v>
      </c>
      <c r="G20">
        <f>LN(G11)</f>
        <v>-2.8765280260755146</v>
      </c>
      <c r="H20">
        <f t="shared" ref="H20" si="6">LN(H11)</f>
        <v>-1.7430835973040186</v>
      </c>
    </row>
    <row r="26" spans="1:14" x14ac:dyDescent="0.2">
      <c r="A26" s="8"/>
      <c r="B26" s="8"/>
      <c r="C26" s="8"/>
      <c r="D26" s="8"/>
      <c r="E26" s="8"/>
      <c r="F26" s="8"/>
    </row>
    <row r="27" spans="1:14" x14ac:dyDescent="0.2">
      <c r="A27" s="8"/>
      <c r="B27" s="8" t="s">
        <v>68</v>
      </c>
      <c r="C27" s="8"/>
      <c r="D27" s="8"/>
      <c r="E27" s="8" t="s">
        <v>69</v>
      </c>
      <c r="F27" s="8"/>
    </row>
    <row r="28" spans="1:14" x14ac:dyDescent="0.2">
      <c r="A28" s="8"/>
      <c r="B28" s="8" t="s">
        <v>70</v>
      </c>
      <c r="C28" s="8"/>
      <c r="D28" s="8"/>
      <c r="E28" s="8"/>
      <c r="F28" s="8"/>
    </row>
    <row r="29" spans="1:14" x14ac:dyDescent="0.2">
      <c r="A29">
        <v>0</v>
      </c>
      <c r="B29">
        <f>SLOPE(B16:B20,A16:A20)</f>
        <v>-4014.1411582246997</v>
      </c>
      <c r="E29" s="37">
        <f>-B29*8.314/1000</f>
        <v>33.373569589480155</v>
      </c>
    </row>
    <row r="30" spans="1:14" x14ac:dyDescent="0.2">
      <c r="A30">
        <v>1</v>
      </c>
      <c r="B30">
        <f>SLOPE(C16:C20,A16:A20)</f>
        <v>-3914.0442451967488</v>
      </c>
      <c r="E30" s="37">
        <f t="shared" ref="E30:E34" si="7">-B30*8.314/1000</f>
        <v>32.541363854565773</v>
      </c>
    </row>
    <row r="31" spans="1:14" x14ac:dyDescent="0.2">
      <c r="A31">
        <v>3</v>
      </c>
      <c r="B31">
        <f>SLOPE(D16:D20,A16:A20)</f>
        <v>-3839.9448850889971</v>
      </c>
      <c r="E31" s="37">
        <f t="shared" si="7"/>
        <v>31.925301774629922</v>
      </c>
    </row>
    <row r="32" spans="1:14" x14ac:dyDescent="0.2">
      <c r="A32">
        <v>5</v>
      </c>
      <c r="B32">
        <f>SLOPE(E16:E20,A16:A20)</f>
        <v>-3701.774808154059</v>
      </c>
      <c r="E32" s="37">
        <f t="shared" si="7"/>
        <v>30.776555754992845</v>
      </c>
    </row>
    <row r="33" spans="1:14" x14ac:dyDescent="0.2">
      <c r="A33">
        <v>10</v>
      </c>
      <c r="B33">
        <f>SLOPE(F16:F20,A16:A20)</f>
        <v>-3585.8346424347869</v>
      </c>
      <c r="E33" s="37">
        <f t="shared" si="7"/>
        <v>29.812629217202819</v>
      </c>
    </row>
    <row r="34" spans="1:14" x14ac:dyDescent="0.2">
      <c r="A34">
        <v>15</v>
      </c>
      <c r="B34">
        <f>SLOPE(G16:G20,A16:A20)</f>
        <v>-3756.5447188816711</v>
      </c>
      <c r="E34" s="37">
        <f t="shared" si="7"/>
        <v>31.231912792782211</v>
      </c>
    </row>
    <row r="38" spans="1:14" x14ac:dyDescent="0.2">
      <c r="A38" s="66"/>
      <c r="B38" s="66"/>
    </row>
    <row r="39" spans="1:14" x14ac:dyDescent="0.2">
      <c r="A39" s="66" t="s">
        <v>72</v>
      </c>
      <c r="B39" s="66" t="s">
        <v>137</v>
      </c>
    </row>
    <row r="40" spans="1:14" x14ac:dyDescent="0.2">
      <c r="A40" s="62" t="s">
        <v>45</v>
      </c>
      <c r="B40" s="62"/>
      <c r="C40" s="62"/>
      <c r="D40" s="62"/>
      <c r="E40" s="62"/>
      <c r="F40" s="62"/>
      <c r="G40" s="62"/>
      <c r="J40" s="67">
        <v>0</v>
      </c>
      <c r="K40" s="67"/>
      <c r="L40" s="67"/>
      <c r="M40" s="57">
        <v>0.05</v>
      </c>
      <c r="N40" s="67"/>
    </row>
    <row r="41" spans="1:14" x14ac:dyDescent="0.2">
      <c r="A41" s="62"/>
      <c r="B41" s="62">
        <v>0</v>
      </c>
      <c r="C41" s="62">
        <v>0.01</v>
      </c>
      <c r="D41" s="62">
        <v>0.03</v>
      </c>
      <c r="E41" s="62">
        <v>0.05</v>
      </c>
      <c r="F41" s="62">
        <v>0.1</v>
      </c>
      <c r="G41" s="62">
        <v>0.15</v>
      </c>
      <c r="J41" s="67">
        <f t="array" ref="J41:K42">LINEST(B48:B52,A48:A52,1,1)</f>
        <v>1.2334299999999998E-2</v>
      </c>
      <c r="K41" s="67">
        <v>-0.25805499999999992</v>
      </c>
      <c r="L41" s="67"/>
      <c r="M41" s="67">
        <f t="array" ref="M41:N42">LINEST(E48:E52,A48:A52,1,1)</f>
        <v>8.9160999999999997E-3</v>
      </c>
      <c r="N41" s="67">
        <v>-0.20362500000000003</v>
      </c>
    </row>
    <row r="42" spans="1:14" x14ac:dyDescent="0.2">
      <c r="A42">
        <v>30</v>
      </c>
      <c r="B42">
        <v>139.87</v>
      </c>
      <c r="C42">
        <v>115.57</v>
      </c>
      <c r="D42">
        <v>96.96</v>
      </c>
      <c r="E42">
        <v>88.87</v>
      </c>
      <c r="F42">
        <v>54</v>
      </c>
      <c r="G42">
        <v>22.56</v>
      </c>
      <c r="J42" s="67">
        <v>9.7170021268564658E-4</v>
      </c>
      <c r="K42" s="67">
        <v>5.049102414291072E-2</v>
      </c>
      <c r="L42" s="67"/>
      <c r="M42" s="67">
        <v>8.4251868228544288E-4</v>
      </c>
      <c r="N42" s="67">
        <v>4.377855492133103E-2</v>
      </c>
    </row>
    <row r="43" spans="1:14" x14ac:dyDescent="0.2">
      <c r="A43">
        <v>40</v>
      </c>
      <c r="B43">
        <v>221.35</v>
      </c>
      <c r="C43">
        <v>184.76</v>
      </c>
      <c r="D43">
        <v>160.24</v>
      </c>
      <c r="E43">
        <v>140.16999999999999</v>
      </c>
      <c r="F43">
        <v>94</v>
      </c>
      <c r="G43">
        <v>42.57</v>
      </c>
      <c r="J43" s="67">
        <f>J42/J41</f>
        <v>7.8780329056829065E-2</v>
      </c>
      <c r="K43" s="67"/>
      <c r="L43" s="67"/>
      <c r="M43" s="67">
        <f>M42/M41</f>
        <v>9.4494081749357112E-2</v>
      </c>
      <c r="N43" s="67"/>
    </row>
    <row r="44" spans="1:14" x14ac:dyDescent="0.2">
      <c r="A44">
        <v>50</v>
      </c>
      <c r="B44">
        <v>332.47</v>
      </c>
      <c r="C44">
        <v>282.27999999999997</v>
      </c>
      <c r="D44">
        <v>247.4</v>
      </c>
      <c r="E44">
        <v>216.93</v>
      </c>
      <c r="F44">
        <v>135</v>
      </c>
      <c r="G44">
        <v>72.08</v>
      </c>
      <c r="J44" s="67">
        <f>-LOG(J43)</f>
        <v>1.103582209522477</v>
      </c>
      <c r="K44" s="67"/>
      <c r="L44" s="67"/>
      <c r="M44" s="67">
        <f>LOG(M43)</f>
        <v>-1.0245953908990335</v>
      </c>
      <c r="N44" s="67"/>
    </row>
    <row r="45" spans="1:14" x14ac:dyDescent="0.2">
      <c r="A45">
        <v>60</v>
      </c>
      <c r="B45">
        <v>464.7</v>
      </c>
      <c r="C45">
        <v>404.99</v>
      </c>
      <c r="D45">
        <v>359.25</v>
      </c>
      <c r="E45">
        <v>320.33999999999997</v>
      </c>
      <c r="F45">
        <v>221</v>
      </c>
      <c r="G45">
        <v>115.35</v>
      </c>
      <c r="J45" s="64"/>
      <c r="K45" s="64"/>
      <c r="L45" s="64"/>
      <c r="M45" s="64"/>
      <c r="N45" s="64"/>
    </row>
    <row r="46" spans="1:14" x14ac:dyDescent="0.2">
      <c r="A46">
        <v>70</v>
      </c>
      <c r="B46">
        <v>634.91</v>
      </c>
      <c r="C46">
        <v>557.20000000000005</v>
      </c>
      <c r="D46">
        <v>496.54</v>
      </c>
      <c r="E46">
        <v>444.59</v>
      </c>
      <c r="F46">
        <v>312</v>
      </c>
      <c r="G46">
        <v>174.98</v>
      </c>
      <c r="J46" s="57">
        <v>0.01</v>
      </c>
      <c r="K46" s="67"/>
      <c r="L46" s="67"/>
      <c r="M46" s="57">
        <v>0.1</v>
      </c>
      <c r="N46" s="67"/>
    </row>
    <row r="47" spans="1:14" x14ac:dyDescent="0.2">
      <c r="A47" s="66" t="s">
        <v>72</v>
      </c>
      <c r="B47" s="66" t="s">
        <v>138</v>
      </c>
      <c r="J47" s="67">
        <f t="array" ref="J47:K48">LINEST(C48:C52,A48:A52,1,1)</f>
        <v>1.10349E-2</v>
      </c>
      <c r="K47" s="67">
        <v>-0.24278500000000003</v>
      </c>
      <c r="L47" s="67"/>
      <c r="M47" s="67">
        <f t="array" ref="M47:N48">LINEST(F48:F52,A48:A52,1,1)</f>
        <v>6.4299999999999991E-3</v>
      </c>
      <c r="N47" s="67">
        <v>-0.15829999999999994</v>
      </c>
    </row>
    <row r="48" spans="1:14" x14ac:dyDescent="0.2">
      <c r="A48" s="64">
        <v>30</v>
      </c>
      <c r="B48">
        <f>B42/1000</f>
        <v>0.13986999999999999</v>
      </c>
      <c r="C48" s="64">
        <f t="shared" ref="C48:G48" si="8">C42/1000</f>
        <v>0.11556999999999999</v>
      </c>
      <c r="D48" s="64">
        <f t="shared" si="8"/>
        <v>9.6959999999999991E-2</v>
      </c>
      <c r="E48" s="64">
        <f t="shared" si="8"/>
        <v>8.8870000000000005E-2</v>
      </c>
      <c r="F48" s="64">
        <f t="shared" si="8"/>
        <v>5.3999999999999999E-2</v>
      </c>
      <c r="G48" s="64">
        <f t="shared" si="8"/>
        <v>2.256E-2</v>
      </c>
      <c r="J48" s="67">
        <v>9.3327291292526074E-4</v>
      </c>
      <c r="K48" s="67">
        <v>4.8494283075430689E-2</v>
      </c>
      <c r="L48" s="67"/>
      <c r="M48" s="67">
        <v>7.4069786912973673E-4</v>
      </c>
      <c r="N48" s="67">
        <v>3.8487790271721216E-2</v>
      </c>
    </row>
    <row r="49" spans="1:14" x14ac:dyDescent="0.2">
      <c r="A49" s="64">
        <v>40</v>
      </c>
      <c r="B49" s="64">
        <f t="shared" ref="B49:G49" si="9">B43/1000</f>
        <v>0.22134999999999999</v>
      </c>
      <c r="C49" s="64">
        <f t="shared" si="9"/>
        <v>0.18475999999999998</v>
      </c>
      <c r="D49" s="64">
        <f t="shared" si="9"/>
        <v>0.16024000000000002</v>
      </c>
      <c r="E49" s="64">
        <f t="shared" si="9"/>
        <v>0.14016999999999999</v>
      </c>
      <c r="F49" s="64">
        <f t="shared" si="9"/>
        <v>9.4E-2</v>
      </c>
      <c r="G49" s="64">
        <f t="shared" si="9"/>
        <v>4.2570000000000004E-2</v>
      </c>
      <c r="J49" s="67">
        <f>J48/J47</f>
        <v>8.4574659754529782E-2</v>
      </c>
      <c r="K49" s="67"/>
      <c r="L49" s="67"/>
      <c r="M49" s="67">
        <f>M48/M47</f>
        <v>0.1151940698491037</v>
      </c>
      <c r="N49" s="67"/>
    </row>
    <row r="50" spans="1:14" x14ac:dyDescent="0.2">
      <c r="A50" s="64">
        <v>50</v>
      </c>
      <c r="B50" s="64">
        <f t="shared" ref="B50:G50" si="10">B44/1000</f>
        <v>0.33247000000000004</v>
      </c>
      <c r="C50" s="64">
        <f t="shared" si="10"/>
        <v>0.28227999999999998</v>
      </c>
      <c r="D50" s="64">
        <f t="shared" si="10"/>
        <v>0.24740000000000001</v>
      </c>
      <c r="E50" s="64">
        <f t="shared" si="10"/>
        <v>0.21693000000000001</v>
      </c>
      <c r="F50" s="64">
        <f t="shared" si="10"/>
        <v>0.13500000000000001</v>
      </c>
      <c r="G50" s="64">
        <f t="shared" si="10"/>
        <v>7.2080000000000005E-2</v>
      </c>
      <c r="J50" s="67">
        <f>LOG(J49)</f>
        <v>-1.0727597407114562</v>
      </c>
      <c r="K50" s="67"/>
      <c r="L50" s="67"/>
      <c r="M50" s="67">
        <f>LOG(M49)</f>
        <v>-0.93856987766715705</v>
      </c>
      <c r="N50" s="67"/>
    </row>
    <row r="51" spans="1:14" x14ac:dyDescent="0.2">
      <c r="A51" s="64">
        <v>60</v>
      </c>
      <c r="B51" s="64">
        <f t="shared" ref="B51:G51" si="11">B45/1000</f>
        <v>0.4647</v>
      </c>
      <c r="C51" s="64">
        <f t="shared" si="11"/>
        <v>0.40499000000000002</v>
      </c>
      <c r="D51" s="64">
        <f t="shared" si="11"/>
        <v>0.35925000000000001</v>
      </c>
      <c r="E51" s="64">
        <f t="shared" si="11"/>
        <v>0.32033999999999996</v>
      </c>
      <c r="F51" s="64">
        <f t="shared" si="11"/>
        <v>0.221</v>
      </c>
      <c r="G51" s="64">
        <f t="shared" si="11"/>
        <v>0.11534999999999999</v>
      </c>
      <c r="J51" s="64"/>
      <c r="K51" s="64"/>
      <c r="L51" s="64"/>
      <c r="M51" s="64"/>
      <c r="N51" s="64"/>
    </row>
    <row r="52" spans="1:14" x14ac:dyDescent="0.2">
      <c r="A52" s="64">
        <v>70</v>
      </c>
      <c r="B52" s="64">
        <f t="shared" ref="B52:G52" si="12">B46/1000</f>
        <v>0.63490999999999997</v>
      </c>
      <c r="C52" s="64">
        <f t="shared" si="12"/>
        <v>0.55720000000000003</v>
      </c>
      <c r="D52" s="64">
        <f t="shared" si="12"/>
        <v>0.49654000000000004</v>
      </c>
      <c r="E52" s="64">
        <f t="shared" si="12"/>
        <v>0.44458999999999999</v>
      </c>
      <c r="F52" s="64">
        <f t="shared" si="12"/>
        <v>0.312</v>
      </c>
      <c r="G52" s="64">
        <f t="shared" si="12"/>
        <v>0.17498</v>
      </c>
      <c r="J52" s="57">
        <v>0.03</v>
      </c>
      <c r="K52" s="67"/>
      <c r="L52" s="67"/>
      <c r="M52" s="57">
        <v>0.15</v>
      </c>
      <c r="N52" s="67"/>
    </row>
    <row r="53" spans="1:14" x14ac:dyDescent="0.2">
      <c r="J53" s="67">
        <f t="array" ref="J53:K54">LINEST(D48:D52,A48:A52,1,1)</f>
        <v>9.9817000000000013E-3</v>
      </c>
      <c r="K53" s="67">
        <v>-0.22700700000000007</v>
      </c>
      <c r="L53" s="67"/>
      <c r="M53" s="67">
        <f t="array" ref="M53:N54">LINEST(G48:G52,A48:A52,1,1)</f>
        <v>3.7761999999999995E-3</v>
      </c>
      <c r="N53" s="67">
        <v>-0.10330199999999998</v>
      </c>
    </row>
    <row r="54" spans="1:14" x14ac:dyDescent="0.2">
      <c r="J54" s="67">
        <v>8.4278664559899114E-4</v>
      </c>
      <c r="K54" s="67">
        <v>4.379247870353993E-2</v>
      </c>
      <c r="L54" s="67"/>
      <c r="M54" s="67">
        <v>4.5553303575774403E-4</v>
      </c>
      <c r="N54" s="67">
        <v>2.3670190873755086E-2</v>
      </c>
    </row>
    <row r="55" spans="1:14" x14ac:dyDescent="0.2">
      <c r="A55" s="64"/>
      <c r="B55" s="62">
        <v>0</v>
      </c>
      <c r="C55" s="62">
        <v>0.01</v>
      </c>
      <c r="D55" s="62">
        <v>0.03</v>
      </c>
      <c r="E55" s="62">
        <v>0.05</v>
      </c>
      <c r="F55" s="62">
        <v>0.1</v>
      </c>
      <c r="G55" s="62">
        <v>0.15</v>
      </c>
      <c r="H55" s="64"/>
      <c r="J55" s="67">
        <f>J54/J53</f>
        <v>8.4433177274311086E-2</v>
      </c>
      <c r="K55" s="67"/>
      <c r="L55" s="67"/>
      <c r="M55" s="67">
        <f>M54/M53</f>
        <v>0.12063265604516289</v>
      </c>
      <c r="N55" s="67"/>
    </row>
    <row r="56" spans="1:14" x14ac:dyDescent="0.2">
      <c r="A56" s="64">
        <v>3.3003300330033004E-3</v>
      </c>
      <c r="B56" s="64">
        <f>LN(B48)</f>
        <v>-1.9670418591909244</v>
      </c>
      <c r="C56" s="64">
        <f t="shared" ref="C56:G56" si="13">LN(C48)</f>
        <v>-2.1578788719947872</v>
      </c>
      <c r="D56" s="64">
        <f t="shared" si="13"/>
        <v>-2.3334567566611328</v>
      </c>
      <c r="E56" s="64">
        <f t="shared" si="13"/>
        <v>-2.4205806512317531</v>
      </c>
      <c r="F56" s="64">
        <f t="shared" si="13"/>
        <v>-2.9187712324178627</v>
      </c>
      <c r="G56" s="64">
        <f t="shared" si="13"/>
        <v>-3.791576852352279</v>
      </c>
      <c r="H56" s="64"/>
      <c r="J56" s="67">
        <f>LOG(J55)</f>
        <v>-1.0734868676409366</v>
      </c>
      <c r="K56" s="67"/>
      <c r="L56" s="67"/>
      <c r="M56" s="67">
        <f>LOG(M55)</f>
        <v>-0.91853510993702936</v>
      </c>
      <c r="N56" s="67"/>
    </row>
    <row r="57" spans="1:14" x14ac:dyDescent="0.2">
      <c r="A57" s="64">
        <v>3.1948881789137379E-3</v>
      </c>
      <c r="B57" s="64">
        <f t="shared" ref="B57:G57" si="14">LN(B49)</f>
        <v>-1.508010119803987</v>
      </c>
      <c r="C57" s="64">
        <f t="shared" si="14"/>
        <v>-1.6886975934197326</v>
      </c>
      <c r="D57" s="64">
        <f t="shared" si="14"/>
        <v>-1.8310825876245742</v>
      </c>
      <c r="E57" s="64">
        <f t="shared" si="14"/>
        <v>-1.9648993073071708</v>
      </c>
      <c r="F57" s="64">
        <f t="shared" si="14"/>
        <v>-2.364460496712133</v>
      </c>
      <c r="G57" s="64">
        <f t="shared" si="14"/>
        <v>-3.156605499142076</v>
      </c>
      <c r="H57" s="64"/>
      <c r="J57" s="67"/>
      <c r="K57" s="67"/>
      <c r="L57" s="67"/>
      <c r="M57" s="67"/>
      <c r="N57" s="67"/>
    </row>
    <row r="58" spans="1:14" x14ac:dyDescent="0.2">
      <c r="A58" s="64">
        <v>3.0959752321981426E-3</v>
      </c>
      <c r="B58" s="64">
        <f t="shared" ref="B58:G58" si="15">LN(B50)</f>
        <v>-1.1012056485207089</v>
      </c>
      <c r="C58" s="64">
        <f t="shared" si="15"/>
        <v>-1.2648557928495077</v>
      </c>
      <c r="D58" s="64">
        <f t="shared" si="15"/>
        <v>-1.3967488190237496</v>
      </c>
      <c r="E58" s="64">
        <f t="shared" si="15"/>
        <v>-1.5281805581271668</v>
      </c>
      <c r="F58" s="64">
        <f t="shared" si="15"/>
        <v>-2.0024805005437076</v>
      </c>
      <c r="G58" s="64">
        <f t="shared" si="15"/>
        <v>-2.6299786656820543</v>
      </c>
      <c r="H58" s="64"/>
    </row>
    <row r="59" spans="1:14" x14ac:dyDescent="0.2">
      <c r="A59" s="64">
        <v>3.003003003003003E-3</v>
      </c>
      <c r="B59" s="64">
        <f t="shared" ref="B59:G59" si="16">LN(B51)</f>
        <v>-0.76636324289120439</v>
      </c>
      <c r="C59" s="64">
        <f t="shared" si="16"/>
        <v>-0.90389290353845919</v>
      </c>
      <c r="D59" s="64">
        <f t="shared" si="16"/>
        <v>-1.0237367540230027</v>
      </c>
      <c r="E59" s="64">
        <f t="shared" si="16"/>
        <v>-1.1383723472419873</v>
      </c>
      <c r="F59" s="64">
        <f t="shared" si="16"/>
        <v>-1.5095925774643841</v>
      </c>
      <c r="G59" s="64">
        <f t="shared" si="16"/>
        <v>-2.1597842943623746</v>
      </c>
      <c r="H59" s="64"/>
    </row>
    <row r="60" spans="1:14" x14ac:dyDescent="0.2">
      <c r="A60" s="64">
        <v>2.9154518950437317E-3</v>
      </c>
      <c r="B60" s="64">
        <f t="shared" ref="B60:G60" si="17">LN(B52)</f>
        <v>-0.45427202241787923</v>
      </c>
      <c r="C60" s="64">
        <f t="shared" si="17"/>
        <v>-0.58483103707648632</v>
      </c>
      <c r="D60" s="64">
        <f t="shared" si="17"/>
        <v>-0.70009123479437685</v>
      </c>
      <c r="E60" s="64">
        <f t="shared" si="17"/>
        <v>-0.81060276983274782</v>
      </c>
      <c r="F60" s="64">
        <f t="shared" si="17"/>
        <v>-1.1647520911726548</v>
      </c>
      <c r="G60" s="64">
        <f t="shared" si="17"/>
        <v>-1.7430835973040186</v>
      </c>
      <c r="H60" s="64"/>
    </row>
    <row r="64" spans="1:14" x14ac:dyDescent="0.2">
      <c r="A64" s="66"/>
      <c r="B64" s="66" t="s">
        <v>68</v>
      </c>
      <c r="C64" s="66"/>
      <c r="D64" s="66"/>
      <c r="E64" s="66" t="s">
        <v>69</v>
      </c>
      <c r="F64" s="66"/>
    </row>
    <row r="65" spans="1:6" x14ac:dyDescent="0.2">
      <c r="A65" s="66"/>
      <c r="B65" s="66" t="s">
        <v>70</v>
      </c>
      <c r="C65" s="66"/>
      <c r="D65" s="66"/>
      <c r="E65" s="66"/>
      <c r="F65" s="66"/>
    </row>
    <row r="66" spans="1:6" x14ac:dyDescent="0.2">
      <c r="A66" s="64">
        <v>0</v>
      </c>
      <c r="B66" s="64">
        <f>SLOPE(B56:B60,A56:A60)</f>
        <v>-3923.9975698094077</v>
      </c>
      <c r="C66" s="64"/>
      <c r="D66" s="64"/>
      <c r="E66" s="37">
        <f>-B66*8.314/1000</f>
        <v>32.624115795395419</v>
      </c>
      <c r="F66" s="64"/>
    </row>
    <row r="67" spans="1:6" x14ac:dyDescent="0.2">
      <c r="A67" s="64">
        <v>1</v>
      </c>
      <c r="B67" s="64">
        <f>SLOPE(C56:C60,A56:A60)</f>
        <v>-4093.894336893125</v>
      </c>
      <c r="C67" s="64"/>
      <c r="D67" s="64"/>
      <c r="E67" s="37">
        <f t="shared" ref="E67:E71" si="18">-B67*8.314/1000</f>
        <v>34.036637516929439</v>
      </c>
      <c r="F67" s="64"/>
    </row>
    <row r="68" spans="1:6" x14ac:dyDescent="0.2">
      <c r="A68" s="64">
        <v>3</v>
      </c>
      <c r="B68" s="64">
        <f>SLOPE(D56:D60,A56:A60)</f>
        <v>-4244.3917856210828</v>
      </c>
      <c r="C68" s="64"/>
      <c r="D68" s="64"/>
      <c r="E68" s="37">
        <f t="shared" si="18"/>
        <v>35.287873305653683</v>
      </c>
      <c r="F68" s="64"/>
    </row>
    <row r="69" spans="1:6" x14ac:dyDescent="0.2">
      <c r="A69" s="64">
        <v>5</v>
      </c>
      <c r="B69" s="64">
        <f>SLOPE(E56:E60,A56:A60)</f>
        <v>-4211.9268604739418</v>
      </c>
      <c r="C69" s="64"/>
      <c r="D69" s="64"/>
      <c r="E69" s="37">
        <f t="shared" si="18"/>
        <v>35.017959917980356</v>
      </c>
      <c r="F69" s="64"/>
    </row>
    <row r="70" spans="1:6" x14ac:dyDescent="0.2">
      <c r="A70" s="64">
        <v>10</v>
      </c>
      <c r="B70" s="64">
        <f>SLOPE(F56:F60,A56:A60)</f>
        <v>-4540.1676484572972</v>
      </c>
      <c r="C70" s="64"/>
      <c r="D70" s="64"/>
      <c r="E70" s="37">
        <f t="shared" si="18"/>
        <v>37.74695382927397</v>
      </c>
      <c r="F70" s="64"/>
    </row>
    <row r="71" spans="1:6" x14ac:dyDescent="0.2">
      <c r="A71" s="64">
        <v>15</v>
      </c>
      <c r="B71" s="64">
        <f>SLOPE(G56:G60,A56:A60)</f>
        <v>-5305.804682187867</v>
      </c>
      <c r="C71" s="64"/>
      <c r="D71" s="64"/>
      <c r="E71" s="37">
        <f t="shared" si="18"/>
        <v>44.11246012770993</v>
      </c>
      <c r="F71" s="64"/>
    </row>
    <row r="72" spans="1:6" x14ac:dyDescent="0.2">
      <c r="A72" s="64"/>
      <c r="B72" s="64"/>
      <c r="C72" s="64"/>
      <c r="D72" s="64"/>
      <c r="E72" s="64"/>
      <c r="F72" s="64"/>
    </row>
    <row r="73" spans="1:6" x14ac:dyDescent="0.2">
      <c r="A73" s="64"/>
      <c r="B73" s="64"/>
      <c r="C73" s="64"/>
      <c r="D73" s="64"/>
      <c r="E73" s="64"/>
      <c r="F73" s="64"/>
    </row>
  </sheetData>
  <sortState ref="A42:G46">
    <sortCondition ref="A42"/>
  </sortState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76"/>
  <sheetViews>
    <sheetView topLeftCell="J7" workbookViewId="0">
      <selection activeCell="D26" sqref="D26"/>
    </sheetView>
  </sheetViews>
  <sheetFormatPr defaultRowHeight="12.75" x14ac:dyDescent="0.2"/>
  <cols>
    <col min="14" max="14" width="12.85546875" bestFit="1" customWidth="1"/>
  </cols>
  <sheetData>
    <row r="3" spans="1:16" x14ac:dyDescent="0.2">
      <c r="J3" s="67"/>
      <c r="K3" s="67"/>
      <c r="L3" s="67"/>
      <c r="M3" s="67"/>
      <c r="N3" s="67"/>
      <c r="O3" s="64"/>
      <c r="P3" s="64"/>
    </row>
    <row r="4" spans="1:16" x14ac:dyDescent="0.2">
      <c r="J4" s="67">
        <v>0</v>
      </c>
      <c r="K4" s="67"/>
      <c r="L4" s="67"/>
      <c r="M4" s="57">
        <v>0.05</v>
      </c>
      <c r="N4" s="67"/>
      <c r="O4" s="64"/>
      <c r="P4" s="64"/>
    </row>
    <row r="5" spans="1:16" x14ac:dyDescent="0.2">
      <c r="A5" t="s">
        <v>50</v>
      </c>
      <c r="B5" t="s">
        <v>8</v>
      </c>
      <c r="H5" t="s">
        <v>9</v>
      </c>
      <c r="J5" s="67">
        <f t="array" ref="J5:K6">LINEST(B7:B11,A7:A11,1,1)</f>
        <v>1.2262399999999998E-2</v>
      </c>
      <c r="K5" s="67">
        <v>-0.24467599999999989</v>
      </c>
      <c r="L5" s="67"/>
      <c r="M5" s="67">
        <f t="array" ref="M5:N6">LINEST(E7:E11,A7:A11,1,1)</f>
        <v>3.4927999999999995E-3</v>
      </c>
      <c r="N5" s="67">
        <v>-4.961999999999997E-2</v>
      </c>
      <c r="O5" s="64"/>
      <c r="P5" s="64"/>
    </row>
    <row r="6" spans="1:16" x14ac:dyDescent="0.2">
      <c r="A6" s="5"/>
      <c r="B6" s="5">
        <v>0</v>
      </c>
      <c r="C6" s="5">
        <v>0.01</v>
      </c>
      <c r="D6" s="5">
        <v>0.03</v>
      </c>
      <c r="E6" s="5">
        <v>0.05</v>
      </c>
      <c r="F6" s="5">
        <v>0.1</v>
      </c>
      <c r="G6" s="5">
        <v>0.15</v>
      </c>
      <c r="H6" t="s">
        <v>52</v>
      </c>
      <c r="J6" s="67">
        <v>1.1723683380235053E-3</v>
      </c>
      <c r="K6" s="67">
        <v>6.0918045799253848E-2</v>
      </c>
      <c r="L6" s="67"/>
      <c r="M6" s="67">
        <v>2.8600685306474715E-4</v>
      </c>
      <c r="N6" s="67">
        <v>1.4861352024630856E-2</v>
      </c>
      <c r="O6" s="64"/>
      <c r="P6" s="64"/>
    </row>
    <row r="7" spans="1:16" x14ac:dyDescent="0.2">
      <c r="A7" s="6">
        <v>30</v>
      </c>
      <c r="B7">
        <v>0.15547999999999998</v>
      </c>
      <c r="C7">
        <f>104.18/1000</f>
        <v>0.10418000000000001</v>
      </c>
      <c r="D7">
        <f>74.59/1000</f>
        <v>7.4590000000000004E-2</v>
      </c>
      <c r="E7">
        <f>63.15/1000</f>
        <v>6.3149999999999998E-2</v>
      </c>
      <c r="F7">
        <f>33.36/1000</f>
        <v>3.3360000000000001E-2</v>
      </c>
      <c r="G7">
        <f>24.26/1000</f>
        <v>2.426E-2</v>
      </c>
      <c r="H7">
        <f>57.98/1000</f>
        <v>5.7979999999999997E-2</v>
      </c>
      <c r="J7" s="67">
        <f>J6/J5</f>
        <v>9.5606760342470107E-2</v>
      </c>
      <c r="K7" s="67"/>
      <c r="L7" s="67"/>
      <c r="M7" s="67">
        <f>M6/M5</f>
        <v>8.1884692242540996E-2</v>
      </c>
      <c r="N7" s="67"/>
      <c r="O7" s="64"/>
      <c r="P7" s="64"/>
    </row>
    <row r="8" spans="1:16" x14ac:dyDescent="0.2">
      <c r="A8" s="6">
        <v>40</v>
      </c>
      <c r="B8">
        <v>0.22722000000000001</v>
      </c>
      <c r="C8">
        <f>167.5/1000</f>
        <v>0.16750000000000001</v>
      </c>
      <c r="D8">
        <f>111.04/1000</f>
        <v>0.11104</v>
      </c>
      <c r="E8">
        <f>87.15/1000</f>
        <v>8.7150000000000005E-2</v>
      </c>
      <c r="F8">
        <f>47.9/1000</f>
        <v>4.7899999999999998E-2</v>
      </c>
      <c r="G8">
        <f>29.72/1000</f>
        <v>2.972E-2</v>
      </c>
      <c r="H8">
        <f>76.4/1000</f>
        <v>7.640000000000001E-2</v>
      </c>
      <c r="J8" s="67">
        <f>-LOG(J7)</f>
        <v>1.0195113977278045</v>
      </c>
      <c r="K8" s="67"/>
      <c r="L8" s="67"/>
      <c r="M8" s="67">
        <f>LOG(M7)</f>
        <v>-1.0867972788984464</v>
      </c>
      <c r="N8" s="67"/>
      <c r="O8" s="64"/>
      <c r="P8" s="64"/>
    </row>
    <row r="9" spans="1:16" x14ac:dyDescent="0.2">
      <c r="A9" s="6">
        <v>50</v>
      </c>
      <c r="B9">
        <v>0.34626000000000001</v>
      </c>
      <c r="C9">
        <f>242.24/1000</f>
        <v>0.24224000000000001</v>
      </c>
      <c r="D9">
        <f>161.53/1000</f>
        <v>0.16153000000000001</v>
      </c>
      <c r="E9">
        <f>114.74/1000</f>
        <v>0.11473999999999999</v>
      </c>
      <c r="F9">
        <f>64.84/1000</f>
        <v>6.4840000000000009E-2</v>
      </c>
      <c r="G9">
        <f>40.26/1000</f>
        <v>4.0259999999999997E-2</v>
      </c>
      <c r="H9">
        <f>95.17/1000</f>
        <v>9.5170000000000005E-2</v>
      </c>
      <c r="J9" s="67"/>
      <c r="K9" s="67"/>
      <c r="L9" s="67"/>
      <c r="M9" s="67"/>
      <c r="N9" s="67"/>
      <c r="O9" s="64"/>
      <c r="P9" s="64"/>
    </row>
    <row r="10" spans="1:16" x14ac:dyDescent="0.2">
      <c r="A10" s="6">
        <v>60</v>
      </c>
      <c r="B10">
        <v>0.46210000000000001</v>
      </c>
      <c r="C10">
        <f>350.44/1000</f>
        <v>0.35043999999999997</v>
      </c>
      <c r="D10">
        <f>225.73/1000</f>
        <v>0.22572999999999999</v>
      </c>
      <c r="E10">
        <f>157.39/1000</f>
        <v>0.15738999999999997</v>
      </c>
      <c r="F10">
        <f>87.78/1000</f>
        <v>8.7779999999999997E-2</v>
      </c>
      <c r="G10">
        <f>54.22/1000</f>
        <v>5.4219999999999997E-2</v>
      </c>
      <c r="H10">
        <f>131.33/1000</f>
        <v>0.13133</v>
      </c>
      <c r="J10" s="57">
        <v>0.01</v>
      </c>
      <c r="K10" s="67"/>
      <c r="L10" s="67"/>
      <c r="M10" s="57">
        <v>0.1</v>
      </c>
      <c r="N10" s="67"/>
      <c r="O10" s="64"/>
      <c r="P10" s="64"/>
    </row>
    <row r="11" spans="1:16" x14ac:dyDescent="0.2">
      <c r="A11" s="6">
        <v>70</v>
      </c>
      <c r="B11">
        <v>0.65115999999999996</v>
      </c>
      <c r="C11">
        <f>457.65/1000</f>
        <v>0.45765</v>
      </c>
      <c r="D11">
        <f>291.05/1000</f>
        <v>0.29105000000000003</v>
      </c>
      <c r="E11">
        <f>202.67/1000</f>
        <v>0.20266999999999999</v>
      </c>
      <c r="F11">
        <f>113.2/1000</f>
        <v>0.11320000000000001</v>
      </c>
      <c r="G11">
        <f>69.3/1000</f>
        <v>6.93E-2</v>
      </c>
      <c r="H11">
        <f>182.34/1000</f>
        <v>0.18234</v>
      </c>
      <c r="J11" s="67">
        <f t="array" ref="J11:K12">LINEST(C7:C11,A7:A11,1,1)</f>
        <v>8.8987999999999984E-3</v>
      </c>
      <c r="K11" s="67">
        <v>-0.18053799999999987</v>
      </c>
      <c r="L11" s="67"/>
      <c r="M11" s="67">
        <f t="array" ref="M11:N12">LINEST(F7:F11,A7:A11,1,1)</f>
        <v>1.9955999999999997E-3</v>
      </c>
      <c r="N11" s="67">
        <v>-3.0363999999999974E-2</v>
      </c>
      <c r="O11" s="64"/>
      <c r="P11" s="64"/>
    </row>
    <row r="12" spans="1:16" x14ac:dyDescent="0.2">
      <c r="J12" s="67">
        <v>6.0853009785876572E-4</v>
      </c>
      <c r="K12" s="67">
        <v>3.1620151422787297E-2</v>
      </c>
      <c r="L12" s="67"/>
      <c r="M12" s="67">
        <v>1.3634387897274052E-4</v>
      </c>
      <c r="N12" s="67">
        <v>7.0846357704542548E-3</v>
      </c>
      <c r="O12" s="64"/>
      <c r="P12" s="64"/>
    </row>
    <row r="13" spans="1:16" x14ac:dyDescent="0.2">
      <c r="A13" t="s">
        <v>3</v>
      </c>
      <c r="B13" t="s">
        <v>51</v>
      </c>
      <c r="H13" t="s">
        <v>9</v>
      </c>
      <c r="J13" s="67">
        <f>J12/J11</f>
        <v>6.8383388530899203E-2</v>
      </c>
      <c r="K13" s="67"/>
      <c r="L13" s="67"/>
      <c r="M13" s="67">
        <f>M12/M11</f>
        <v>6.83222484329227E-2</v>
      </c>
      <c r="N13" s="67"/>
      <c r="O13" s="64"/>
      <c r="P13" s="64"/>
    </row>
    <row r="14" spans="1:16" x14ac:dyDescent="0.2">
      <c r="A14" s="8"/>
      <c r="B14" s="8">
        <v>0</v>
      </c>
      <c r="C14" s="8">
        <v>0.01</v>
      </c>
      <c r="D14" s="8">
        <v>0.03</v>
      </c>
      <c r="E14" s="8">
        <v>0.05</v>
      </c>
      <c r="F14" s="8">
        <v>0.1</v>
      </c>
      <c r="G14" s="8">
        <v>0.15</v>
      </c>
      <c r="H14" t="s">
        <v>52</v>
      </c>
      <c r="J14" s="67">
        <f>LOG(J13)</f>
        <v>-1.1650493828636441</v>
      </c>
      <c r="K14" s="67"/>
      <c r="L14" s="67"/>
      <c r="M14" s="67">
        <f>LOG(M13)</f>
        <v>-1.1654378497847504</v>
      </c>
      <c r="N14" s="67"/>
      <c r="O14" s="64"/>
      <c r="P14" s="64"/>
    </row>
    <row r="15" spans="1:16" x14ac:dyDescent="0.2">
      <c r="A15" s="6">
        <f>1/(A7+273)</f>
        <v>3.3003300330033004E-3</v>
      </c>
      <c r="B15">
        <f>LN(B7)</f>
        <v>-1.8612381729981147</v>
      </c>
      <c r="C15">
        <f t="shared" ref="C15:F15" si="0">LN(C7)</f>
        <v>-2.2616351066650915</v>
      </c>
      <c r="D15">
        <f t="shared" si="0"/>
        <v>-2.595748829015065</v>
      </c>
      <c r="E15">
        <f t="shared" si="0"/>
        <v>-2.762242430185637</v>
      </c>
      <c r="F15">
        <f t="shared" si="0"/>
        <v>-3.4003977014915909</v>
      </c>
      <c r="G15">
        <f>LN(G7)</f>
        <v>-3.7189263754662329</v>
      </c>
      <c r="H15">
        <f>LN(H7)</f>
        <v>-2.8476571554886276</v>
      </c>
      <c r="J15" s="67"/>
      <c r="K15" s="67"/>
      <c r="L15" s="67"/>
      <c r="M15" s="67"/>
      <c r="N15" s="67"/>
      <c r="O15" s="64"/>
      <c r="P15" s="64"/>
    </row>
    <row r="16" spans="1:16" x14ac:dyDescent="0.2">
      <c r="A16" s="6">
        <f t="shared" ref="A16:A18" si="1">1/(A8+273)</f>
        <v>3.1948881789137379E-3</v>
      </c>
      <c r="B16">
        <f t="shared" ref="B16:H16" si="2">LN(B8)</f>
        <v>-1.4818365678403786</v>
      </c>
      <c r="C16">
        <f t="shared" si="2"/>
        <v>-1.7867719277170158</v>
      </c>
      <c r="D16">
        <f t="shared" si="2"/>
        <v>-2.1978647822236428</v>
      </c>
      <c r="E16">
        <f t="shared" si="2"/>
        <v>-2.4401245070161073</v>
      </c>
      <c r="F16">
        <f t="shared" si="2"/>
        <v>-3.0386397745652673</v>
      </c>
      <c r="G16">
        <f t="shared" si="2"/>
        <v>-3.5159350591325786</v>
      </c>
      <c r="H16">
        <f t="shared" si="2"/>
        <v>-2.571772582809662</v>
      </c>
      <c r="J16" s="57">
        <v>0.03</v>
      </c>
      <c r="K16" s="67"/>
      <c r="L16" s="67"/>
      <c r="M16" s="57">
        <v>0.15</v>
      </c>
      <c r="N16" s="67"/>
      <c r="O16" s="64"/>
      <c r="P16" s="64"/>
    </row>
    <row r="17" spans="1:16" x14ac:dyDescent="0.2">
      <c r="A17" s="6">
        <f t="shared" si="1"/>
        <v>3.0959752321981426E-3</v>
      </c>
      <c r="B17">
        <f t="shared" ref="B17:H17" si="3">LN(B9)</f>
        <v>-1.060565341031207</v>
      </c>
      <c r="C17">
        <f t="shared" si="3"/>
        <v>-1.4178263087330532</v>
      </c>
      <c r="D17">
        <f t="shared" si="3"/>
        <v>-1.8230643950564702</v>
      </c>
      <c r="E17">
        <f t="shared" si="3"/>
        <v>-2.165086579808412</v>
      </c>
      <c r="F17">
        <f t="shared" si="3"/>
        <v>-2.7358325821146616</v>
      </c>
      <c r="G17">
        <f t="shared" si="3"/>
        <v>-3.2123968587704916</v>
      </c>
      <c r="H17">
        <f t="shared" si="3"/>
        <v>-2.3520905128978851</v>
      </c>
      <c r="J17" s="67">
        <f t="array" ref="J17:K18">LINEST(D7:D11,A7:A11,1,1)</f>
        <v>5.4761000000000002E-3</v>
      </c>
      <c r="K17" s="67">
        <v>-0.10101700000000002</v>
      </c>
      <c r="L17" s="67"/>
      <c r="M17" s="67">
        <f t="array" ref="M17:N18">LINEST(G7:G11,A7:A11,1,1)</f>
        <v>1.1457999999999998E-3</v>
      </c>
      <c r="N17" s="67">
        <v>-1.3737999999999993E-2</v>
      </c>
      <c r="O17" s="64"/>
      <c r="P17" s="64"/>
    </row>
    <row r="18" spans="1:16" x14ac:dyDescent="0.2">
      <c r="A18" s="6">
        <f t="shared" si="1"/>
        <v>3.003003003003003E-3</v>
      </c>
      <c r="B18">
        <f t="shared" ref="B18:G18" si="4">LN(B10)</f>
        <v>-0.77197396110591632</v>
      </c>
      <c r="C18">
        <f t="shared" si="4"/>
        <v>-1.048565771183974</v>
      </c>
      <c r="D18">
        <f t="shared" si="4"/>
        <v>-1.4884156841866507</v>
      </c>
      <c r="E18">
        <f t="shared" si="4"/>
        <v>-1.8490284774186276</v>
      </c>
      <c r="F18">
        <f t="shared" si="4"/>
        <v>-2.4329215947220493</v>
      </c>
      <c r="G18">
        <f t="shared" si="4"/>
        <v>-2.9147054349116175</v>
      </c>
      <c r="H18">
        <f>LN(H10)</f>
        <v>-2.0300420393850684</v>
      </c>
      <c r="J18" s="67">
        <v>3.5753324787120603E-4</v>
      </c>
      <c r="K18" s="67">
        <v>1.8577972521241378E-2</v>
      </c>
      <c r="L18" s="67"/>
      <c r="M18" s="67">
        <v>1.1291713776039489E-4</v>
      </c>
      <c r="N18" s="67">
        <v>5.8673465893877442E-3</v>
      </c>
      <c r="O18" s="64"/>
      <c r="P18" s="64"/>
    </row>
    <row r="19" spans="1:16" x14ac:dyDescent="0.2">
      <c r="A19" s="6">
        <f>1/(A11+273)</f>
        <v>2.9154518950437317E-3</v>
      </c>
      <c r="B19">
        <f t="shared" ref="B19:G19" si="5">LN(B11)</f>
        <v>-0.42899989124182797</v>
      </c>
      <c r="C19">
        <f t="shared" si="5"/>
        <v>-0.78165057915134872</v>
      </c>
      <c r="D19">
        <f t="shared" si="5"/>
        <v>-1.2342602052643925</v>
      </c>
      <c r="E19">
        <f t="shared" si="5"/>
        <v>-1.5961762384509153</v>
      </c>
      <c r="F19">
        <f t="shared" si="5"/>
        <v>-2.1785991132130542</v>
      </c>
      <c r="G19">
        <f t="shared" si="5"/>
        <v>-2.6693103727862795</v>
      </c>
      <c r="H19">
        <f>LN(H11)</f>
        <v>-1.7018822028253804</v>
      </c>
      <c r="J19" s="67">
        <f>J18/J17</f>
        <v>6.5289758746408216E-2</v>
      </c>
      <c r="K19" s="67"/>
      <c r="L19" s="67"/>
      <c r="M19" s="67">
        <f>M18/M17</f>
        <v>9.8548732554018956E-2</v>
      </c>
      <c r="N19" s="67"/>
      <c r="O19" s="64"/>
      <c r="P19" s="64"/>
    </row>
    <row r="20" spans="1:16" x14ac:dyDescent="0.2">
      <c r="J20" s="67">
        <f>LOG(J19)</f>
        <v>-1.1851549361634526</v>
      </c>
      <c r="K20" s="67"/>
      <c r="L20" s="67"/>
      <c r="M20" s="67">
        <f>LOG(M19)</f>
        <v>-1.0063489568572455</v>
      </c>
      <c r="N20" s="67"/>
      <c r="O20" s="64"/>
      <c r="P20" s="64"/>
    </row>
    <row r="21" spans="1:16" x14ac:dyDescent="0.2">
      <c r="J21" s="64"/>
      <c r="K21" s="64"/>
      <c r="L21" s="64"/>
      <c r="M21" s="64"/>
      <c r="N21" s="64"/>
      <c r="O21" s="64"/>
      <c r="P21" s="64"/>
    </row>
    <row r="22" spans="1:16" x14ac:dyDescent="0.2">
      <c r="J22" s="64"/>
      <c r="K22" s="64"/>
      <c r="L22" s="64"/>
      <c r="M22" s="64"/>
      <c r="N22" s="64"/>
      <c r="O22" s="64"/>
      <c r="P22" s="64"/>
    </row>
    <row r="23" spans="1:16" x14ac:dyDescent="0.2">
      <c r="O23" s="64"/>
      <c r="P23" s="64"/>
    </row>
    <row r="24" spans="1:16" x14ac:dyDescent="0.2">
      <c r="A24" s="40"/>
      <c r="B24" s="40" t="s">
        <v>68</v>
      </c>
      <c r="C24" s="40"/>
      <c r="D24" s="40" t="s">
        <v>69</v>
      </c>
      <c r="E24" s="40"/>
      <c r="O24" s="64"/>
      <c r="P24" s="64"/>
    </row>
    <row r="25" spans="1:16" x14ac:dyDescent="0.2">
      <c r="A25" s="40"/>
      <c r="B25" s="40" t="s">
        <v>70</v>
      </c>
      <c r="C25" s="40"/>
      <c r="D25" s="40"/>
      <c r="E25" s="40"/>
    </row>
    <row r="26" spans="1:16" x14ac:dyDescent="0.2">
      <c r="A26">
        <v>0</v>
      </c>
      <c r="B26">
        <f>SLOPE(B15:B19,A15:A19)</f>
        <v>-3718.5447000028034</v>
      </c>
      <c r="D26" s="37">
        <f>-B26*8.314/1000</f>
        <v>30.915980635823306</v>
      </c>
    </row>
    <row r="27" spans="1:16" x14ac:dyDescent="0.2">
      <c r="A27">
        <v>0.01</v>
      </c>
      <c r="B27">
        <f>SLOPE(C15:C19,A15:A19)</f>
        <v>-3853.9025964516609</v>
      </c>
      <c r="D27" s="37">
        <f t="shared" ref="D27:D31" si="6">-B27*8.314/1000</f>
        <v>32.041346186899105</v>
      </c>
    </row>
    <row r="28" spans="1:16" x14ac:dyDescent="0.2">
      <c r="A28">
        <v>0.03</v>
      </c>
      <c r="B28">
        <f>SLOPE(D15:D19,A15:A19)</f>
        <v>-3575.0186675003069</v>
      </c>
      <c r="D28" s="37">
        <f t="shared" si="6"/>
        <v>29.722705201597552</v>
      </c>
    </row>
    <row r="29" spans="1:16" x14ac:dyDescent="0.2">
      <c r="A29">
        <v>0.05</v>
      </c>
      <c r="B29">
        <f t="shared" ref="B29" si="7">SLOPE(B18:B22,A18:A22)</f>
        <v>-3917.4155285806296</v>
      </c>
      <c r="D29" s="37">
        <f t="shared" si="6"/>
        <v>32.569392704619354</v>
      </c>
    </row>
    <row r="30" spans="1:16" x14ac:dyDescent="0.2">
      <c r="A30">
        <v>0.1</v>
      </c>
      <c r="B30">
        <f>SLOPE(F15:F19,A15:A19)</f>
        <v>-3173.611748267816</v>
      </c>
      <c r="D30" s="37">
        <f t="shared" si="6"/>
        <v>26.385408075098621</v>
      </c>
    </row>
    <row r="31" spans="1:16" x14ac:dyDescent="0.2">
      <c r="A31">
        <v>0.15</v>
      </c>
      <c r="B31">
        <f>SLOPE(G15:G19,A15:A19)</f>
        <v>-2801.6802074689222</v>
      </c>
      <c r="D31" s="37">
        <f t="shared" si="6"/>
        <v>23.293169244896621</v>
      </c>
    </row>
    <row r="43" spans="1:14" x14ac:dyDescent="0.2">
      <c r="A43" s="66" t="s">
        <v>72</v>
      </c>
      <c r="B43" s="66" t="s">
        <v>137</v>
      </c>
      <c r="C43" s="64"/>
      <c r="D43" s="64"/>
      <c r="E43" s="64"/>
      <c r="F43" s="64"/>
      <c r="G43" s="64"/>
    </row>
    <row r="44" spans="1:14" x14ac:dyDescent="0.2">
      <c r="A44" s="62" t="s">
        <v>45</v>
      </c>
      <c r="B44" s="62"/>
      <c r="C44" s="62"/>
      <c r="D44" s="62"/>
      <c r="E44" s="62"/>
      <c r="F44" s="62"/>
      <c r="G44" s="62"/>
      <c r="J44" s="67">
        <v>0</v>
      </c>
      <c r="K44" s="67"/>
      <c r="L44" s="67"/>
      <c r="M44" s="57">
        <v>0.05</v>
      </c>
      <c r="N44" s="67"/>
    </row>
    <row r="45" spans="1:14" x14ac:dyDescent="0.2">
      <c r="A45" s="62"/>
      <c r="B45" s="62">
        <v>0</v>
      </c>
      <c r="C45" s="62">
        <v>0.01</v>
      </c>
      <c r="D45" s="62">
        <v>0.03</v>
      </c>
      <c r="E45" s="62">
        <v>0.05</v>
      </c>
      <c r="F45" s="62">
        <v>0.1</v>
      </c>
      <c r="G45" s="62">
        <v>0.15</v>
      </c>
      <c r="J45" s="67">
        <f t="array" ref="J45:K46">LINEST(B52:B56,A52:A56,1,1)</f>
        <v>1.2262399999999998E-2</v>
      </c>
      <c r="K45" s="67">
        <v>-0.24467599999999989</v>
      </c>
      <c r="L45" s="67"/>
      <c r="M45" s="67">
        <f t="array" ref="M45:N46">LINEST(E52:E56,A52:A56,1,1)</f>
        <v>7.4827999999999995E-3</v>
      </c>
      <c r="N45" s="67">
        <v>-0.12311</v>
      </c>
    </row>
    <row r="46" spans="1:14" x14ac:dyDescent="0.2">
      <c r="A46" s="64">
        <v>30</v>
      </c>
      <c r="B46" s="64">
        <v>155.47999999999999</v>
      </c>
      <c r="C46" s="64">
        <v>140.66</v>
      </c>
      <c r="D46" s="64">
        <v>117.91</v>
      </c>
      <c r="E46" s="64">
        <v>119.06</v>
      </c>
      <c r="F46" s="64">
        <v>77</v>
      </c>
      <c r="G46" s="64">
        <v>57.98</v>
      </c>
      <c r="J46" s="67">
        <v>1.1723683380235053E-3</v>
      </c>
      <c r="K46" s="67">
        <v>6.0918045799253848E-2</v>
      </c>
      <c r="L46" s="67"/>
      <c r="M46" s="67">
        <v>5.4578755329645634E-4</v>
      </c>
      <c r="N46" s="67">
        <v>2.8359953173445064E-2</v>
      </c>
    </row>
    <row r="47" spans="1:14" x14ac:dyDescent="0.2">
      <c r="A47" s="64">
        <v>40</v>
      </c>
      <c r="B47" s="64">
        <v>227.22</v>
      </c>
      <c r="C47" s="64">
        <v>203</v>
      </c>
      <c r="D47" s="64">
        <v>172.75</v>
      </c>
      <c r="E47" s="64">
        <v>163.68</v>
      </c>
      <c r="F47" s="64">
        <v>107</v>
      </c>
      <c r="G47" s="64">
        <v>76.400000000000006</v>
      </c>
      <c r="J47" s="67">
        <f>J46/J45</f>
        <v>9.5606760342470107E-2</v>
      </c>
      <c r="K47" s="67"/>
      <c r="L47" s="67"/>
      <c r="M47" s="67">
        <f>M46/M45</f>
        <v>7.2938947091524084E-2</v>
      </c>
      <c r="N47" s="67"/>
    </row>
    <row r="48" spans="1:14" x14ac:dyDescent="0.2">
      <c r="A48" s="64">
        <v>50</v>
      </c>
      <c r="B48" s="64">
        <v>346.26</v>
      </c>
      <c r="C48" s="64">
        <v>296.55</v>
      </c>
      <c r="D48" s="64">
        <v>265.56</v>
      </c>
      <c r="E48" s="64">
        <v>237.25</v>
      </c>
      <c r="F48" s="64">
        <v>137</v>
      </c>
      <c r="G48" s="64">
        <v>95.17</v>
      </c>
      <c r="J48" s="67">
        <f>-LOG(J47)</f>
        <v>1.0195113977278045</v>
      </c>
      <c r="K48" s="67"/>
      <c r="L48" s="67"/>
      <c r="M48" s="67">
        <f>LOG(M47)</f>
        <v>-1.1370405102248904</v>
      </c>
      <c r="N48" s="67"/>
    </row>
    <row r="49" spans="1:14" x14ac:dyDescent="0.2">
      <c r="A49" s="64">
        <v>60</v>
      </c>
      <c r="B49" s="64">
        <v>462.1</v>
      </c>
      <c r="C49" s="64">
        <v>420.52</v>
      </c>
      <c r="D49" s="64">
        <v>372.22</v>
      </c>
      <c r="E49" s="64">
        <v>320.24</v>
      </c>
      <c r="F49" s="64">
        <v>215</v>
      </c>
      <c r="G49" s="64">
        <v>131.33000000000001</v>
      </c>
      <c r="J49" s="67"/>
      <c r="K49" s="67"/>
      <c r="L49" s="67"/>
      <c r="M49" s="67"/>
      <c r="N49" s="67"/>
    </row>
    <row r="50" spans="1:14" x14ac:dyDescent="0.2">
      <c r="A50" s="64">
        <v>70</v>
      </c>
      <c r="B50" s="64">
        <v>651.16</v>
      </c>
      <c r="C50" s="64">
        <v>551.59</v>
      </c>
      <c r="D50" s="64">
        <v>475.65</v>
      </c>
      <c r="E50" s="64">
        <v>414.92</v>
      </c>
      <c r="F50" s="64">
        <v>315</v>
      </c>
      <c r="G50" s="64">
        <v>182.34</v>
      </c>
      <c r="J50" s="57">
        <v>0.01</v>
      </c>
      <c r="K50" s="67"/>
      <c r="L50" s="67"/>
      <c r="M50" s="57">
        <v>0.1</v>
      </c>
      <c r="N50" s="67"/>
    </row>
    <row r="51" spans="1:14" x14ac:dyDescent="0.2">
      <c r="A51" s="66" t="s">
        <v>72</v>
      </c>
      <c r="B51" s="66" t="s">
        <v>138</v>
      </c>
      <c r="C51" s="64"/>
      <c r="D51" s="64"/>
      <c r="E51" s="64"/>
      <c r="F51" s="64"/>
      <c r="G51" s="64"/>
      <c r="J51" s="67">
        <f t="array" ref="J51:K52">LINEST(C52:C56,A52:A56,1,1)</f>
        <v>1.03938E-2</v>
      </c>
      <c r="K51" s="67">
        <v>-0.19722600000000001</v>
      </c>
      <c r="L51" s="67"/>
      <c r="M51" s="67">
        <f t="array" ref="M51:N52">LINEST(F52:F56,A52:A56,1,1)</f>
        <v>5.8399999999999997E-3</v>
      </c>
      <c r="N51" s="67">
        <v>-0.12179999999999999</v>
      </c>
    </row>
    <row r="52" spans="1:14" x14ac:dyDescent="0.2">
      <c r="A52" s="64">
        <v>30</v>
      </c>
      <c r="B52" s="64">
        <f>B46/1000</f>
        <v>0.15547999999999998</v>
      </c>
      <c r="C52" s="64">
        <f t="shared" ref="C52:G52" si="8">C46/1000</f>
        <v>0.14066000000000001</v>
      </c>
      <c r="D52" s="64">
        <f t="shared" si="8"/>
        <v>0.11791</v>
      </c>
      <c r="E52" s="64">
        <f t="shared" si="8"/>
        <v>0.11906</v>
      </c>
      <c r="F52" s="64">
        <f t="shared" si="8"/>
        <v>7.6999999999999999E-2</v>
      </c>
      <c r="G52" s="64">
        <f t="shared" si="8"/>
        <v>5.7979999999999997E-2</v>
      </c>
      <c r="J52" s="67">
        <v>8.3236644173905253E-4</v>
      </c>
      <c r="K52" s="67">
        <v>4.3251029028220762E-2</v>
      </c>
      <c r="L52" s="67"/>
      <c r="M52" s="67">
        <v>9.4007091931052364E-4</v>
      </c>
      <c r="N52" s="67">
        <v>4.8847517848914279E-2</v>
      </c>
    </row>
    <row r="53" spans="1:14" x14ac:dyDescent="0.2">
      <c r="A53" s="64">
        <v>40</v>
      </c>
      <c r="B53" s="64">
        <f t="shared" ref="B53:G56" si="9">B47/1000</f>
        <v>0.22722000000000001</v>
      </c>
      <c r="C53" s="64">
        <f t="shared" si="9"/>
        <v>0.20300000000000001</v>
      </c>
      <c r="D53" s="64">
        <f t="shared" si="9"/>
        <v>0.17274999999999999</v>
      </c>
      <c r="E53" s="64">
        <f t="shared" si="9"/>
        <v>0.16368000000000002</v>
      </c>
      <c r="F53" s="64">
        <f t="shared" si="9"/>
        <v>0.107</v>
      </c>
      <c r="G53" s="64">
        <f t="shared" si="9"/>
        <v>7.640000000000001E-2</v>
      </c>
      <c r="J53" s="67">
        <f>J52/J51</f>
        <v>8.0082976557087154E-2</v>
      </c>
      <c r="K53" s="67"/>
      <c r="L53" s="67"/>
      <c r="M53" s="67">
        <f>M52/M51</f>
        <v>0.16097104782714447</v>
      </c>
      <c r="N53" s="67"/>
    </row>
    <row r="54" spans="1:14" x14ac:dyDescent="0.2">
      <c r="A54" s="64">
        <v>50</v>
      </c>
      <c r="B54" s="64">
        <f t="shared" si="9"/>
        <v>0.34626000000000001</v>
      </c>
      <c r="C54" s="64">
        <f t="shared" si="9"/>
        <v>0.29655000000000004</v>
      </c>
      <c r="D54" s="64">
        <f t="shared" si="9"/>
        <v>0.26556000000000002</v>
      </c>
      <c r="E54" s="64">
        <f t="shared" si="9"/>
        <v>0.23724999999999999</v>
      </c>
      <c r="F54" s="64">
        <f t="shared" si="9"/>
        <v>0.13700000000000001</v>
      </c>
      <c r="G54" s="64">
        <f t="shared" si="9"/>
        <v>9.5170000000000005E-2</v>
      </c>
      <c r="J54" s="67">
        <f>LOG(J53)</f>
        <v>-1.0964597931924007</v>
      </c>
      <c r="K54" s="67"/>
      <c r="L54" s="67"/>
      <c r="M54" s="67">
        <f>LOG(M53)</f>
        <v>-0.79325222893460001</v>
      </c>
      <c r="N54" s="67"/>
    </row>
    <row r="55" spans="1:14" x14ac:dyDescent="0.2">
      <c r="A55" s="64">
        <v>60</v>
      </c>
      <c r="B55" s="64">
        <f t="shared" si="9"/>
        <v>0.46210000000000001</v>
      </c>
      <c r="C55" s="64">
        <f t="shared" si="9"/>
        <v>0.42052</v>
      </c>
      <c r="D55" s="64">
        <f t="shared" si="9"/>
        <v>0.37222000000000005</v>
      </c>
      <c r="E55" s="64">
        <f t="shared" si="9"/>
        <v>0.32024000000000002</v>
      </c>
      <c r="F55" s="64">
        <f t="shared" si="9"/>
        <v>0.215</v>
      </c>
      <c r="G55" s="64">
        <f t="shared" si="9"/>
        <v>0.13133</v>
      </c>
      <c r="J55" s="67"/>
      <c r="K55" s="67"/>
      <c r="L55" s="67"/>
      <c r="M55" s="67"/>
      <c r="N55" s="67"/>
    </row>
    <row r="56" spans="1:14" x14ac:dyDescent="0.2">
      <c r="A56" s="64">
        <v>70</v>
      </c>
      <c r="B56" s="64">
        <f t="shared" si="9"/>
        <v>0.65115999999999996</v>
      </c>
      <c r="C56" s="64">
        <f t="shared" si="9"/>
        <v>0.55159000000000002</v>
      </c>
      <c r="D56" s="64">
        <f t="shared" si="9"/>
        <v>0.47564999999999996</v>
      </c>
      <c r="E56" s="64">
        <f t="shared" si="9"/>
        <v>0.41492000000000001</v>
      </c>
      <c r="F56" s="64">
        <f t="shared" si="9"/>
        <v>0.315</v>
      </c>
      <c r="G56" s="64">
        <f t="shared" si="9"/>
        <v>0.18234</v>
      </c>
      <c r="J56" s="57">
        <v>0.03</v>
      </c>
      <c r="K56" s="67"/>
      <c r="L56" s="67"/>
      <c r="M56" s="57">
        <v>0.15</v>
      </c>
      <c r="N56" s="67"/>
    </row>
    <row r="57" spans="1:14" x14ac:dyDescent="0.2">
      <c r="A57" s="64"/>
      <c r="B57" s="64"/>
      <c r="C57" s="64"/>
      <c r="D57" s="64"/>
      <c r="E57" s="64"/>
      <c r="F57" s="64"/>
      <c r="G57" s="64"/>
      <c r="J57" s="67">
        <f t="array" ref="J57:K58">LINEST(D52:D56,A52:A56,1,1)</f>
        <v>9.1494999999999996E-3</v>
      </c>
      <c r="K57" s="67">
        <v>-0.17665700000000001</v>
      </c>
      <c r="L57" s="67"/>
      <c r="M57" s="67">
        <f t="array" ref="M57:N58">LINEST(G52:G56,A52:A56,1,1)</f>
        <v>3.0364999999999997E-3</v>
      </c>
      <c r="N57" s="67">
        <v>-4.3180999999999983E-2</v>
      </c>
    </row>
    <row r="58" spans="1:14" x14ac:dyDescent="0.2">
      <c r="A58" s="64"/>
      <c r="B58" s="64"/>
      <c r="C58" s="64"/>
      <c r="D58" s="64"/>
      <c r="E58" s="64"/>
      <c r="F58" s="64"/>
      <c r="G58" s="64"/>
      <c r="J58" s="67">
        <v>5.9188941253131473E-4</v>
      </c>
      <c r="K58" s="67">
        <v>3.0755476048989962E-2</v>
      </c>
      <c r="L58" s="67"/>
      <c r="M58" s="67">
        <v>4.1371804811167376E-4</v>
      </c>
      <c r="N58" s="67">
        <v>2.1497420380129324E-2</v>
      </c>
    </row>
    <row r="59" spans="1:14" x14ac:dyDescent="0.2">
      <c r="A59" s="64"/>
      <c r="B59" s="62">
        <v>0</v>
      </c>
      <c r="C59" s="62">
        <v>0.01</v>
      </c>
      <c r="D59" s="62">
        <v>0.03</v>
      </c>
      <c r="E59" s="62">
        <v>0.05</v>
      </c>
      <c r="F59" s="62">
        <v>0.1</v>
      </c>
      <c r="G59" s="62">
        <v>0.15</v>
      </c>
      <c r="J59" s="67">
        <f>J58/J57</f>
        <v>6.4690902511756354E-2</v>
      </c>
      <c r="K59" s="67"/>
      <c r="L59" s="67"/>
      <c r="M59" s="67">
        <f>M58/M57</f>
        <v>0.13624832804599829</v>
      </c>
      <c r="N59" s="67"/>
    </row>
    <row r="60" spans="1:14" x14ac:dyDescent="0.2">
      <c r="A60" s="64">
        <v>3.3003300330033004E-3</v>
      </c>
      <c r="B60" s="64">
        <f>LN(B52)</f>
        <v>-1.8612381729981147</v>
      </c>
      <c r="C60" s="64">
        <f t="shared" ref="C60:G60" si="10">LN(C52)</f>
        <v>-1.9614096481022647</v>
      </c>
      <c r="D60" s="64">
        <f t="shared" si="10"/>
        <v>-2.1378336573935552</v>
      </c>
      <c r="E60" s="64">
        <f t="shared" si="10"/>
        <v>-2.128127711256893</v>
      </c>
      <c r="F60" s="64">
        <f t="shared" si="10"/>
        <v>-2.5639498571284531</v>
      </c>
      <c r="G60" s="64">
        <f t="shared" si="10"/>
        <v>-2.8476571554886276</v>
      </c>
      <c r="J60" s="67">
        <f>LOG(J59)</f>
        <v>-1.1891567899146747</v>
      </c>
      <c r="K60" s="67"/>
      <c r="L60" s="67"/>
      <c r="M60" s="67">
        <f>LOG(M59)</f>
        <v>-0.86566881840803311</v>
      </c>
      <c r="N60" s="67"/>
    </row>
    <row r="61" spans="1:14" x14ac:dyDescent="0.2">
      <c r="A61" s="64">
        <v>3.1948881789137379E-3</v>
      </c>
      <c r="B61" s="64">
        <f t="shared" ref="B61:G64" si="11">LN(B53)</f>
        <v>-1.4818365678403786</v>
      </c>
      <c r="C61" s="64">
        <f t="shared" si="11"/>
        <v>-1.5945492999403497</v>
      </c>
      <c r="D61" s="64">
        <f t="shared" si="11"/>
        <v>-1.7559098163343578</v>
      </c>
      <c r="E61" s="64">
        <f t="shared" si="11"/>
        <v>-1.8098419767788205</v>
      </c>
      <c r="F61" s="64">
        <f t="shared" si="11"/>
        <v>-2.234926444520231</v>
      </c>
      <c r="G61" s="64">
        <f t="shared" si="11"/>
        <v>-2.571772582809662</v>
      </c>
    </row>
    <row r="62" spans="1:14" x14ac:dyDescent="0.2">
      <c r="A62" s="64">
        <v>3.0959752321981426E-3</v>
      </c>
      <c r="B62" s="64">
        <f t="shared" si="11"/>
        <v>-1.060565341031207</v>
      </c>
      <c r="C62" s="64">
        <f t="shared" si="11"/>
        <v>-1.2155394406974014</v>
      </c>
      <c r="D62" s="64">
        <f t="shared" si="11"/>
        <v>-1.3259144751311784</v>
      </c>
      <c r="E62" s="64">
        <f t="shared" si="11"/>
        <v>-1.4386408414920999</v>
      </c>
      <c r="F62" s="64">
        <f t="shared" si="11"/>
        <v>-1.987774353154012</v>
      </c>
      <c r="G62" s="64">
        <f t="shared" si="11"/>
        <v>-2.3520905128978851</v>
      </c>
    </row>
    <row r="63" spans="1:14" x14ac:dyDescent="0.2">
      <c r="A63" s="64">
        <v>3.003003003003003E-3</v>
      </c>
      <c r="B63" s="64">
        <f t="shared" si="11"/>
        <v>-0.77197396110591632</v>
      </c>
      <c r="C63" s="64">
        <f t="shared" si="11"/>
        <v>-0.86626323827450691</v>
      </c>
      <c r="D63" s="64">
        <f t="shared" si="11"/>
        <v>-0.98827020166631929</v>
      </c>
      <c r="E63" s="64">
        <f t="shared" si="11"/>
        <v>-1.1386845642978187</v>
      </c>
      <c r="F63" s="64">
        <f t="shared" si="11"/>
        <v>-1.5371172508544744</v>
      </c>
      <c r="G63" s="64">
        <f t="shared" si="11"/>
        <v>-2.0300420393850684</v>
      </c>
    </row>
    <row r="64" spans="1:14" x14ac:dyDescent="0.2">
      <c r="A64" s="64">
        <v>2.9154518950437317E-3</v>
      </c>
      <c r="B64" s="64">
        <f t="shared" si="11"/>
        <v>-0.42899989124182797</v>
      </c>
      <c r="C64" s="64">
        <f t="shared" si="11"/>
        <v>-0.59495026230636683</v>
      </c>
      <c r="D64" s="64">
        <f t="shared" si="11"/>
        <v>-0.74307298932967114</v>
      </c>
      <c r="E64" s="64">
        <f t="shared" si="11"/>
        <v>-0.87966954841850975</v>
      </c>
      <c r="F64" s="64">
        <f t="shared" si="11"/>
        <v>-1.155182640156504</v>
      </c>
      <c r="G64" s="64">
        <f t="shared" si="11"/>
        <v>-1.7018822028253804</v>
      </c>
    </row>
    <row r="65" spans="1:7" x14ac:dyDescent="0.2">
      <c r="A65" s="64"/>
      <c r="B65" s="64"/>
      <c r="C65" s="64"/>
      <c r="D65" s="64"/>
      <c r="E65" s="64"/>
      <c r="F65" s="64"/>
      <c r="G65" s="64"/>
    </row>
    <row r="66" spans="1:7" x14ac:dyDescent="0.2">
      <c r="A66" s="64"/>
      <c r="B66" s="64"/>
      <c r="C66" s="64"/>
      <c r="D66" s="64"/>
      <c r="E66" s="64"/>
      <c r="F66" s="64"/>
      <c r="G66" s="64"/>
    </row>
    <row r="67" spans="1:7" x14ac:dyDescent="0.2">
      <c r="A67" s="64"/>
      <c r="B67" s="64"/>
      <c r="C67" s="64"/>
      <c r="D67" s="64"/>
      <c r="E67" s="64"/>
      <c r="F67" s="64"/>
      <c r="G67" s="64"/>
    </row>
    <row r="68" spans="1:7" x14ac:dyDescent="0.2">
      <c r="A68" s="66"/>
      <c r="B68" s="66" t="s">
        <v>68</v>
      </c>
      <c r="C68" s="66"/>
      <c r="D68" s="66"/>
      <c r="E68" s="66" t="s">
        <v>69</v>
      </c>
      <c r="F68" s="66"/>
      <c r="G68" s="64"/>
    </row>
    <row r="69" spans="1:7" x14ac:dyDescent="0.2">
      <c r="A69" s="66"/>
      <c r="B69" s="66" t="s">
        <v>70</v>
      </c>
      <c r="C69" s="66"/>
      <c r="D69" s="66"/>
      <c r="E69" s="66"/>
      <c r="F69" s="66"/>
      <c r="G69" s="64"/>
    </row>
    <row r="70" spans="1:7" x14ac:dyDescent="0.2">
      <c r="A70" s="64">
        <v>0</v>
      </c>
      <c r="B70" s="64">
        <f>SLOPE(B60:B64,A60:A64)</f>
        <v>-3718.5447000028034</v>
      </c>
      <c r="C70" s="64"/>
      <c r="D70" s="64"/>
      <c r="E70" s="37">
        <f>-B70*8.314/1000</f>
        <v>30.915980635823306</v>
      </c>
      <c r="F70" s="64"/>
      <c r="G70" s="64"/>
    </row>
    <row r="71" spans="1:7" x14ac:dyDescent="0.2">
      <c r="A71" s="64">
        <v>1</v>
      </c>
      <c r="B71" s="64">
        <f>SLOPE(C60:C64,A60:A64)</f>
        <v>-3601.4290314967816</v>
      </c>
      <c r="C71" s="64"/>
      <c r="D71" s="64"/>
      <c r="E71" s="37">
        <f t="shared" ref="E71:E75" si="12">-B71*8.314/1000</f>
        <v>29.942280967864242</v>
      </c>
      <c r="F71" s="64"/>
      <c r="G71" s="64"/>
    </row>
    <row r="72" spans="1:7" x14ac:dyDescent="0.2">
      <c r="A72" s="64">
        <v>3</v>
      </c>
      <c r="B72" s="64">
        <f>SLOPE(D60:D64,A60:A64)</f>
        <v>-3705.6825200063604</v>
      </c>
      <c r="C72" s="64"/>
      <c r="D72" s="64"/>
      <c r="E72" s="37">
        <f t="shared" si="12"/>
        <v>30.809044471332879</v>
      </c>
      <c r="F72" s="64"/>
      <c r="G72" s="64"/>
    </row>
    <row r="73" spans="1:7" x14ac:dyDescent="0.2">
      <c r="A73" s="64">
        <v>5</v>
      </c>
      <c r="B73" s="64">
        <f>SLOPE(E60:E64,A60:A64)</f>
        <v>-3296.0098353589469</v>
      </c>
      <c r="C73" s="64"/>
      <c r="D73" s="64"/>
      <c r="E73" s="37">
        <f t="shared" si="12"/>
        <v>27.403025771174285</v>
      </c>
      <c r="F73" s="64"/>
      <c r="G73" s="64"/>
    </row>
    <row r="74" spans="1:7" x14ac:dyDescent="0.2">
      <c r="A74" s="64">
        <v>10</v>
      </c>
      <c r="B74" s="64">
        <f>SLOPE(F60:F64,A60:A64)</f>
        <v>-3640.7189513407397</v>
      </c>
      <c r="C74" s="64"/>
      <c r="D74" s="64"/>
      <c r="E74" s="37">
        <f t="shared" si="12"/>
        <v>30.268937361446913</v>
      </c>
      <c r="F74" s="64"/>
      <c r="G74" s="64"/>
    </row>
    <row r="75" spans="1:7" x14ac:dyDescent="0.2">
      <c r="A75" s="64">
        <v>15</v>
      </c>
      <c r="B75" s="64">
        <f>SLOPE(G60:G64,A60:A64)</f>
        <v>-2935.75403599021</v>
      </c>
      <c r="C75" s="64"/>
      <c r="D75" s="64"/>
      <c r="E75" s="37">
        <f t="shared" si="12"/>
        <v>24.407859055222605</v>
      </c>
      <c r="F75" s="64"/>
      <c r="G75" s="64"/>
    </row>
    <row r="76" spans="1:7" x14ac:dyDescent="0.2">
      <c r="A76" s="64"/>
      <c r="B76" s="64"/>
      <c r="C76" s="64"/>
      <c r="D76" s="64"/>
      <c r="E76" s="64"/>
      <c r="F76" s="64"/>
      <c r="G76" s="64"/>
    </row>
  </sheetData>
  <sortState ref="A46:G50">
    <sortCondition ref="A46"/>
  </sortState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37"/>
  <sheetViews>
    <sheetView workbookViewId="0">
      <selection activeCell="H37" sqref="H37"/>
    </sheetView>
  </sheetViews>
  <sheetFormatPr defaultRowHeight="12.75" x14ac:dyDescent="0.2"/>
  <sheetData>
    <row r="5" spans="1:6" x14ac:dyDescent="0.2">
      <c r="A5" s="8"/>
      <c r="B5" s="8"/>
      <c r="C5" s="8"/>
      <c r="D5" s="8"/>
      <c r="E5" s="8"/>
      <c r="F5" s="8"/>
    </row>
    <row r="6" spans="1:6" x14ac:dyDescent="0.2">
      <c r="A6" s="8" t="s">
        <v>82</v>
      </c>
      <c r="B6" s="8">
        <v>20</v>
      </c>
      <c r="C6" s="8">
        <v>30</v>
      </c>
      <c r="D6" s="8">
        <v>40</v>
      </c>
      <c r="E6" s="8">
        <v>50</v>
      </c>
      <c r="F6" s="8">
        <v>60</v>
      </c>
    </row>
    <row r="7" spans="1:6" x14ac:dyDescent="0.2">
      <c r="A7" s="3">
        <v>0</v>
      </c>
      <c r="B7">
        <v>0.16427</v>
      </c>
      <c r="C7">
        <v>8.5741999999999999E-2</v>
      </c>
      <c r="D7">
        <v>5.1180000000000003E-2</v>
      </c>
      <c r="E7">
        <v>3.2809999999999999E-2</v>
      </c>
      <c r="F7">
        <v>2.2792E-2</v>
      </c>
    </row>
    <row r="8" spans="1:6" x14ac:dyDescent="0.2">
      <c r="A8" s="3">
        <v>1</v>
      </c>
      <c r="B8">
        <v>0.3574667368332401</v>
      </c>
      <c r="C8">
        <v>0.19263101974099578</v>
      </c>
      <c r="D8">
        <v>0.11200153317493158</v>
      </c>
      <c r="E8">
        <v>7.3410608834847235E-2</v>
      </c>
      <c r="F8">
        <v>5.173479190646188E-2</v>
      </c>
    </row>
    <row r="9" spans="1:6" x14ac:dyDescent="0.2">
      <c r="A9" s="3">
        <v>3</v>
      </c>
      <c r="B9">
        <v>0.87624844484281006</v>
      </c>
      <c r="C9">
        <v>0.41451177299272601</v>
      </c>
      <c r="D9">
        <v>0.21877723239127236</v>
      </c>
      <c r="E9">
        <v>0.12793746405579107</v>
      </c>
      <c r="F9">
        <v>7.8644843837476552E-2</v>
      </c>
    </row>
    <row r="10" spans="1:6" x14ac:dyDescent="0.2">
      <c r="A10" s="3">
        <v>5</v>
      </c>
      <c r="B10">
        <v>2.2853748434762138</v>
      </c>
      <c r="C10">
        <v>0.97772439097249608</v>
      </c>
      <c r="D10">
        <v>0.48529901513833712</v>
      </c>
      <c r="E10">
        <v>0.25902365591007076</v>
      </c>
      <c r="F10">
        <v>0.15713253119117634</v>
      </c>
    </row>
    <row r="11" spans="1:6" x14ac:dyDescent="0.2">
      <c r="A11" s="3">
        <v>10</v>
      </c>
      <c r="B11">
        <v>14.608311829225862</v>
      </c>
      <c r="C11">
        <v>5.5084227844842486</v>
      </c>
      <c r="D11">
        <v>2.4741078679393849</v>
      </c>
      <c r="E11">
        <v>1.2400134445920039</v>
      </c>
      <c r="F11">
        <v>0.66679178085125335</v>
      </c>
    </row>
    <row r="12" spans="1:6" x14ac:dyDescent="0.2">
      <c r="A12" s="3">
        <v>15</v>
      </c>
      <c r="B12">
        <v>50.892410575149512</v>
      </c>
      <c r="C12">
        <v>16.01220205014933</v>
      </c>
      <c r="D12">
        <v>6.5260442262903844</v>
      </c>
      <c r="E12">
        <v>3.0833951812344926</v>
      </c>
      <c r="F12">
        <v>1.6182222956475214</v>
      </c>
    </row>
    <row r="14" spans="1:6" x14ac:dyDescent="0.2">
      <c r="A14" t="s">
        <v>82</v>
      </c>
      <c r="B14" s="3" t="s">
        <v>78</v>
      </c>
      <c r="C14" s="3"/>
      <c r="D14" s="3"/>
      <c r="E14" s="3"/>
      <c r="F14" s="3"/>
    </row>
    <row r="15" spans="1:6" x14ac:dyDescent="0.2">
      <c r="A15" s="3">
        <v>0</v>
      </c>
      <c r="B15">
        <f>LN(B7)</f>
        <v>-1.8062438634290285</v>
      </c>
      <c r="C15">
        <f t="shared" ref="C15:F15" si="0">LN(C7)</f>
        <v>-2.4564124917489281</v>
      </c>
      <c r="D15">
        <f t="shared" si="0"/>
        <v>-2.9724064482504944</v>
      </c>
      <c r="E15">
        <f t="shared" si="0"/>
        <v>-3.4170219320091269</v>
      </c>
      <c r="F15">
        <f t="shared" si="0"/>
        <v>-3.7813456817865299</v>
      </c>
    </row>
    <row r="16" spans="1:6" x14ac:dyDescent="0.2">
      <c r="A16" s="3">
        <v>1</v>
      </c>
      <c r="B16">
        <f t="shared" ref="B16:F16" si="1">LN(B8)</f>
        <v>-1.0287129650000244</v>
      </c>
      <c r="C16">
        <f t="shared" si="1"/>
        <v>-1.646978734741281</v>
      </c>
      <c r="D16">
        <f t="shared" si="1"/>
        <v>-2.1892427187188477</v>
      </c>
      <c r="E16">
        <f t="shared" si="1"/>
        <v>-2.6116868192710734</v>
      </c>
      <c r="F16">
        <f t="shared" si="1"/>
        <v>-2.9616247662303672</v>
      </c>
    </row>
    <row r="17" spans="1:8" x14ac:dyDescent="0.2">
      <c r="A17" s="3">
        <v>3</v>
      </c>
      <c r="B17">
        <f t="shared" ref="B17:F17" si="2">LN(B9)</f>
        <v>-0.1321056154220048</v>
      </c>
      <c r="C17">
        <f t="shared" si="2"/>
        <v>-0.88065390193263604</v>
      </c>
      <c r="D17">
        <f t="shared" si="2"/>
        <v>-1.5197012705612354</v>
      </c>
      <c r="E17">
        <f t="shared" si="2"/>
        <v>-2.0562136965119837</v>
      </c>
      <c r="F17">
        <f t="shared" si="2"/>
        <v>-2.542813209955225</v>
      </c>
    </row>
    <row r="18" spans="1:8" x14ac:dyDescent="0.2">
      <c r="A18" s="3">
        <v>5</v>
      </c>
      <c r="B18">
        <f t="shared" ref="B18:F18" si="3">LN(B10)</f>
        <v>0.82653005617720665</v>
      </c>
      <c r="C18">
        <f t="shared" si="3"/>
        <v>-2.2527457484465965E-2</v>
      </c>
      <c r="D18">
        <f t="shared" si="3"/>
        <v>-0.7229900519603385</v>
      </c>
      <c r="E18">
        <f t="shared" si="3"/>
        <v>-1.3508358858933189</v>
      </c>
      <c r="F18">
        <f t="shared" si="3"/>
        <v>-1.8506656820116296</v>
      </c>
    </row>
    <row r="19" spans="1:8" x14ac:dyDescent="0.2">
      <c r="A19" s="3">
        <v>10</v>
      </c>
      <c r="B19">
        <f t="shared" ref="B19:E19" si="4">LN(B11)</f>
        <v>2.6815906700942391</v>
      </c>
      <c r="C19">
        <f t="shared" si="4"/>
        <v>1.7062783361784961</v>
      </c>
      <c r="D19">
        <f t="shared" si="4"/>
        <v>0.9058798736420417</v>
      </c>
      <c r="E19">
        <f t="shared" si="4"/>
        <v>0.21512222197107334</v>
      </c>
      <c r="F19">
        <f>LN(F11)</f>
        <v>-0.40527745443933544</v>
      </c>
    </row>
    <row r="20" spans="1:8" x14ac:dyDescent="0.2">
      <c r="A20" s="3">
        <v>15</v>
      </c>
      <c r="B20">
        <f t="shared" ref="B20:E20" si="5">LN(B12)</f>
        <v>3.9297138078253204</v>
      </c>
      <c r="C20">
        <f t="shared" si="5"/>
        <v>2.7733510597210427</v>
      </c>
      <c r="D20">
        <f t="shared" si="5"/>
        <v>1.8758009750850924</v>
      </c>
      <c r="E20">
        <f t="shared" si="5"/>
        <v>1.1260313214338038</v>
      </c>
      <c r="F20">
        <f>LN(F12)</f>
        <v>0.48132819835101853</v>
      </c>
    </row>
    <row r="23" spans="1:8" x14ac:dyDescent="0.2">
      <c r="A23" s="5"/>
      <c r="B23" s="5" t="s">
        <v>3</v>
      </c>
      <c r="C23" s="5">
        <v>0</v>
      </c>
      <c r="D23" s="17">
        <v>0.01</v>
      </c>
      <c r="E23" s="17">
        <v>0.03</v>
      </c>
      <c r="F23" s="17">
        <v>0.05</v>
      </c>
      <c r="G23" s="17">
        <v>0.1</v>
      </c>
      <c r="H23" s="17">
        <v>0.15</v>
      </c>
    </row>
    <row r="24" spans="1:8" ht="15" x14ac:dyDescent="0.25">
      <c r="A24" s="6">
        <v>20</v>
      </c>
      <c r="B24" s="8">
        <f>1/(A24+273.15)</f>
        <v>3.4112229234180458E-3</v>
      </c>
      <c r="C24" s="48">
        <f>LN(B7)</f>
        <v>-1.8062438634290285</v>
      </c>
      <c r="D24" s="49">
        <f>LN(B8)</f>
        <v>-1.0287129650000244</v>
      </c>
      <c r="E24" s="49">
        <f>LN(B9)</f>
        <v>-0.1321056154220048</v>
      </c>
      <c r="F24" s="50">
        <f>LN(B10)</f>
        <v>0.82653005617720665</v>
      </c>
      <c r="G24" s="50">
        <f>LN(B11)</f>
        <v>2.6815906700942391</v>
      </c>
      <c r="H24" s="50">
        <f>LN(B12)</f>
        <v>3.9297138078253204</v>
      </c>
    </row>
    <row r="25" spans="1:8" ht="15" x14ac:dyDescent="0.25">
      <c r="A25" s="6">
        <v>30</v>
      </c>
      <c r="B25" s="8">
        <f t="shared" ref="B25:B28" si="6">1/(A25+273.15)</f>
        <v>3.298697014679202E-3</v>
      </c>
      <c r="C25" s="48">
        <f>LN(C7)</f>
        <v>-2.4564124917489281</v>
      </c>
      <c r="D25" s="49">
        <f>LN(C8)</f>
        <v>-1.646978734741281</v>
      </c>
      <c r="E25" s="49">
        <f>LN(C9)</f>
        <v>-0.88065390193263604</v>
      </c>
      <c r="F25" s="50">
        <f>LN(C10)</f>
        <v>-2.2527457484465965E-2</v>
      </c>
      <c r="G25" s="50">
        <f>LN(C19)</f>
        <v>0.5343145870973337</v>
      </c>
      <c r="H25" s="50">
        <f>LN(C12)</f>
        <v>2.7733510597210427</v>
      </c>
    </row>
    <row r="26" spans="1:8" ht="15" x14ac:dyDescent="0.25">
      <c r="A26" s="6">
        <v>40</v>
      </c>
      <c r="B26" s="8">
        <f t="shared" si="6"/>
        <v>3.1933578157432542E-3</v>
      </c>
      <c r="C26" s="48">
        <f>LN(D7)</f>
        <v>-2.9724064482504944</v>
      </c>
      <c r="D26" s="49">
        <f>LN(D8)</f>
        <v>-2.1892427187188477</v>
      </c>
      <c r="E26" s="49">
        <f>LN(0.218777232391272)</f>
        <v>-1.5197012705612369</v>
      </c>
      <c r="F26" s="50">
        <f>LN(D10)</f>
        <v>-0.7229900519603385</v>
      </c>
      <c r="G26" s="50">
        <f>LN(D11)</f>
        <v>0.9058798736420417</v>
      </c>
      <c r="H26" s="50">
        <f>LN(D12)</f>
        <v>1.8758009750850924</v>
      </c>
    </row>
    <row r="27" spans="1:8" ht="15" x14ac:dyDescent="0.25">
      <c r="A27" s="6">
        <v>50</v>
      </c>
      <c r="B27" s="8">
        <f t="shared" si="6"/>
        <v>3.0945381401825778E-3</v>
      </c>
      <c r="C27" s="48">
        <f>LN(E7)</f>
        <v>-3.4170219320091269</v>
      </c>
      <c r="D27" s="49">
        <f>LN(E8)</f>
        <v>-2.6116868192710734</v>
      </c>
      <c r="E27" s="49">
        <f>LN(E9)</f>
        <v>-2.0562136965119837</v>
      </c>
      <c r="F27" s="50">
        <f>LN(E10)</f>
        <v>-1.3508358858933189</v>
      </c>
      <c r="G27" s="50">
        <f>LN(E11)</f>
        <v>0.21512222197107334</v>
      </c>
      <c r="H27" s="50">
        <f>LN(E12)</f>
        <v>1.1260313214338038</v>
      </c>
    </row>
    <row r="28" spans="1:8" ht="15" x14ac:dyDescent="0.25">
      <c r="A28" s="6">
        <v>60</v>
      </c>
      <c r="B28" s="8">
        <f t="shared" si="6"/>
        <v>3.0016509079993999E-3</v>
      </c>
      <c r="C28" s="48">
        <f>LN(F7)</f>
        <v>-3.7813456817865299</v>
      </c>
      <c r="D28" s="49">
        <f>LN(F8)</f>
        <v>-2.9616247662303672</v>
      </c>
      <c r="E28" s="49">
        <f>LN(F9)</f>
        <v>-2.542813209955225</v>
      </c>
      <c r="F28" s="50">
        <f>LN(F10)</f>
        <v>-1.8506656820116296</v>
      </c>
      <c r="G28" s="50">
        <f>LN(F11)</f>
        <v>-0.40527745443933544</v>
      </c>
      <c r="H28" s="50">
        <f>LN(F12)</f>
        <v>0.48132819835101853</v>
      </c>
    </row>
    <row r="31" spans="1:8" x14ac:dyDescent="0.2">
      <c r="B31" t="s">
        <v>79</v>
      </c>
      <c r="D31" t="s">
        <v>80</v>
      </c>
    </row>
    <row r="32" spans="1:8" x14ac:dyDescent="0.2">
      <c r="A32">
        <v>0</v>
      </c>
      <c r="B32">
        <f>SLOPE(C24:C28,B24:B28)</f>
        <v>4812.2451706069687</v>
      </c>
      <c r="D32">
        <f>B32*8.314/1000</f>
        <v>40.00900634842634</v>
      </c>
    </row>
    <row r="33" spans="1:4" x14ac:dyDescent="0.2">
      <c r="A33">
        <v>1</v>
      </c>
      <c r="B33">
        <f>SLOPE(D24:D28,B24:B28)</f>
        <v>4734.2603545593929</v>
      </c>
      <c r="D33">
        <f t="shared" ref="D33:D37" si="7">B33*8.314/1000</f>
        <v>39.360640587806799</v>
      </c>
    </row>
    <row r="34" spans="1:4" x14ac:dyDescent="0.2">
      <c r="A34">
        <v>3</v>
      </c>
      <c r="B34">
        <f>SLOPE(E24:E28,B24:B28)</f>
        <v>5871.6413713122329</v>
      </c>
      <c r="D34">
        <f>B34*8.314/1000</f>
        <v>48.816826361089902</v>
      </c>
    </row>
    <row r="35" spans="1:4" x14ac:dyDescent="0.2">
      <c r="A35">
        <v>5</v>
      </c>
      <c r="B35">
        <f>SLOPE(F24:F28,B24:B28)</f>
        <v>6545.2597006359038</v>
      </c>
      <c r="D35">
        <f t="shared" si="7"/>
        <v>54.417289151086898</v>
      </c>
    </row>
    <row r="36" spans="1:4" x14ac:dyDescent="0.2">
      <c r="A36">
        <v>10</v>
      </c>
      <c r="B36">
        <f>SLOPE(G24:G28,B24:B28)</f>
        <v>6401.0975498388716</v>
      </c>
      <c r="D36">
        <f t="shared" si="7"/>
        <v>53.218725029360378</v>
      </c>
    </row>
    <row r="37" spans="1:4" x14ac:dyDescent="0.2">
      <c r="A37">
        <v>15</v>
      </c>
      <c r="B37">
        <f>SLOPE(H24:H28,B24:B28)</f>
        <v>8374.2985651565814</v>
      </c>
      <c r="D37">
        <f t="shared" si="7"/>
        <v>69.623918270711812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53"/>
  <sheetViews>
    <sheetView topLeftCell="A7" zoomScale="60" zoomScaleNormal="60" workbookViewId="0">
      <selection activeCell="K77" sqref="K77"/>
    </sheetView>
  </sheetViews>
  <sheetFormatPr defaultRowHeight="12.75" x14ac:dyDescent="0.2"/>
  <cols>
    <col min="2" max="2" width="8.5703125" customWidth="1"/>
  </cols>
  <sheetData>
    <row r="4" spans="1:18" ht="20.25" x14ac:dyDescent="0.3">
      <c r="B4" s="39" t="s">
        <v>71</v>
      </c>
      <c r="L4" s="39" t="s">
        <v>72</v>
      </c>
    </row>
    <row r="5" spans="1:18" ht="15.75" x14ac:dyDescent="0.25">
      <c r="B5" s="30" t="s">
        <v>3</v>
      </c>
      <c r="C5" s="30" t="s">
        <v>54</v>
      </c>
      <c r="D5" s="30" t="s">
        <v>54</v>
      </c>
      <c r="E5" s="30" t="s">
        <v>54</v>
      </c>
      <c r="F5" s="30" t="s">
        <v>54</v>
      </c>
      <c r="G5" s="30" t="s">
        <v>54</v>
      </c>
      <c r="H5" s="30" t="s">
        <v>54</v>
      </c>
      <c r="L5" s="30" t="s">
        <v>3</v>
      </c>
      <c r="M5" s="30" t="s">
        <v>54</v>
      </c>
      <c r="N5" s="30" t="s">
        <v>54</v>
      </c>
      <c r="O5" s="30" t="s">
        <v>54</v>
      </c>
      <c r="P5" s="30" t="s">
        <v>54</v>
      </c>
      <c r="Q5" s="30" t="s">
        <v>54</v>
      </c>
      <c r="R5" s="30" t="s">
        <v>54</v>
      </c>
    </row>
    <row r="6" spans="1:18" x14ac:dyDescent="0.2">
      <c r="B6" s="8"/>
      <c r="C6" s="8">
        <v>0</v>
      </c>
      <c r="D6" s="9">
        <v>0.01</v>
      </c>
      <c r="E6" s="9">
        <v>0.03</v>
      </c>
      <c r="F6" s="9">
        <v>0.05</v>
      </c>
      <c r="G6" s="9">
        <v>0.1</v>
      </c>
      <c r="H6" s="9">
        <v>0.15</v>
      </c>
      <c r="L6" s="8"/>
      <c r="M6" s="8">
        <v>0</v>
      </c>
      <c r="N6" s="9">
        <v>0.01</v>
      </c>
      <c r="O6" s="9">
        <v>0.03</v>
      </c>
      <c r="P6" s="9">
        <v>0.05</v>
      </c>
      <c r="Q6" s="9">
        <v>0.1</v>
      </c>
      <c r="R6" s="9" t="s">
        <v>62</v>
      </c>
    </row>
    <row r="7" spans="1:18" ht="15" x14ac:dyDescent="0.25">
      <c r="A7">
        <v>20</v>
      </c>
      <c r="B7" s="28">
        <f>1/(A7+273.15)</f>
        <v>3.4112229234180458E-3</v>
      </c>
      <c r="C7" s="64">
        <v>0.16427</v>
      </c>
      <c r="D7" s="64">
        <v>0.3574667368332401</v>
      </c>
      <c r="E7" s="64">
        <v>0.87624844484281006</v>
      </c>
      <c r="F7" s="64">
        <v>2.2853748434762138</v>
      </c>
      <c r="G7" s="64">
        <v>14.608311829225862</v>
      </c>
      <c r="H7" s="64">
        <v>50.892410575149512</v>
      </c>
      <c r="L7" s="28">
        <f>1/(273.15+A7)</f>
        <v>3.4112229234180458E-3</v>
      </c>
      <c r="M7" s="28">
        <v>0.16427</v>
      </c>
      <c r="N7">
        <v>0.49310999999999999</v>
      </c>
      <c r="O7" s="64">
        <v>2.5918999999999999</v>
      </c>
      <c r="P7">
        <v>7.7675999999999998</v>
      </c>
      <c r="Q7">
        <v>168.33</v>
      </c>
      <c r="R7">
        <v>1207.2</v>
      </c>
    </row>
    <row r="8" spans="1:18" ht="15" x14ac:dyDescent="0.25">
      <c r="A8">
        <v>30</v>
      </c>
      <c r="B8" s="28">
        <f t="shared" ref="B8:B10" si="0">1/(A8+273.15)</f>
        <v>3.298697014679202E-3</v>
      </c>
      <c r="C8" s="64">
        <v>8.5741999999999999E-2</v>
      </c>
      <c r="D8" s="64">
        <v>0.19263101974099578</v>
      </c>
      <c r="E8" s="64">
        <v>0.41451177299272601</v>
      </c>
      <c r="F8" s="64">
        <v>0.97772439097249608</v>
      </c>
      <c r="G8" s="64">
        <v>5.5084227844842486</v>
      </c>
      <c r="H8" s="64">
        <v>16.01220205014933</v>
      </c>
      <c r="L8" s="28">
        <f>1/(273.15+A8)</f>
        <v>3.298697014679202E-3</v>
      </c>
      <c r="M8" s="28">
        <v>8.5741999999999999E-2</v>
      </c>
      <c r="N8">
        <v>0.24357999999999999</v>
      </c>
      <c r="O8" s="64">
        <v>1.1738999999999999</v>
      </c>
      <c r="P8">
        <v>3.4279999999999999</v>
      </c>
      <c r="Q8">
        <v>64.007000000000005</v>
      </c>
      <c r="R8">
        <v>393.78</v>
      </c>
    </row>
    <row r="9" spans="1:18" ht="15" x14ac:dyDescent="0.25">
      <c r="A9">
        <v>40</v>
      </c>
      <c r="B9" s="28">
        <f t="shared" si="0"/>
        <v>3.1933578157432542E-3</v>
      </c>
      <c r="C9" s="64">
        <v>5.1180000000000003E-2</v>
      </c>
      <c r="D9" s="64">
        <v>0.11200153317493158</v>
      </c>
      <c r="E9" s="64">
        <v>0.21877723239127236</v>
      </c>
      <c r="F9" s="64">
        <v>0.48529901513833712</v>
      </c>
      <c r="G9" s="64">
        <v>2.4741078679393849</v>
      </c>
      <c r="H9" s="64">
        <v>6.5260442262903844</v>
      </c>
      <c r="L9" s="28">
        <f t="shared" ref="L9:L10" si="1">1/(273.15+A9)</f>
        <v>3.1933578157432542E-3</v>
      </c>
      <c r="M9" s="28">
        <v>5.1180000000000003E-2</v>
      </c>
      <c r="N9">
        <v>0.13666</v>
      </c>
      <c r="O9" s="64">
        <v>0.61265999999999998</v>
      </c>
      <c r="P9">
        <v>1.7237</v>
      </c>
      <c r="Q9">
        <v>27.966999999999999</v>
      </c>
      <c r="R9">
        <v>160.85</v>
      </c>
    </row>
    <row r="10" spans="1:18" ht="15" x14ac:dyDescent="0.25">
      <c r="A10">
        <v>50</v>
      </c>
      <c r="B10" s="28">
        <f t="shared" si="0"/>
        <v>3.0945381401825778E-3</v>
      </c>
      <c r="C10" s="64">
        <v>3.2809999999999999E-2</v>
      </c>
      <c r="D10" s="64">
        <v>7.3410608834847235E-2</v>
      </c>
      <c r="E10" s="64">
        <v>0.12793746405579101</v>
      </c>
      <c r="F10" s="64">
        <v>0.25902365591007076</v>
      </c>
      <c r="G10" s="64">
        <v>1.2400134445920039</v>
      </c>
      <c r="H10" s="64">
        <v>3.0833951812344926</v>
      </c>
      <c r="L10" s="28">
        <f t="shared" si="1"/>
        <v>3.0945381401825778E-3</v>
      </c>
      <c r="M10" s="28">
        <v>3.2809999999999999E-2</v>
      </c>
      <c r="N10">
        <v>8.3946999999999994E-2</v>
      </c>
      <c r="O10" s="64">
        <v>0.35272999999999999</v>
      </c>
      <c r="P10">
        <v>0.94935999999999998</v>
      </c>
      <c r="Q10">
        <v>13.683</v>
      </c>
      <c r="R10">
        <v>70.3</v>
      </c>
    </row>
    <row r="11" spans="1:18" ht="15" x14ac:dyDescent="0.25">
      <c r="A11">
        <v>60</v>
      </c>
      <c r="B11" s="28">
        <f>1/(A11+273.15)</f>
        <v>3.0016509079993999E-3</v>
      </c>
      <c r="C11" s="64">
        <v>2.2792E-2</v>
      </c>
      <c r="D11" s="64">
        <v>5.173479190646188E-2</v>
      </c>
      <c r="E11" s="64">
        <v>7.8644843837476552E-2</v>
      </c>
      <c r="F11" s="64">
        <v>0.15713253119117634</v>
      </c>
      <c r="G11" s="64">
        <v>0.66679178085125335</v>
      </c>
      <c r="H11" s="64">
        <v>1.6182222956475214</v>
      </c>
      <c r="L11" s="28">
        <f>1/(273.15+A11)</f>
        <v>3.0016509079993999E-3</v>
      </c>
      <c r="M11" s="28">
        <v>2.2792E-2</v>
      </c>
      <c r="N11">
        <v>5.5043000000000002E-2</v>
      </c>
      <c r="O11" s="64">
        <v>0.22076000000000001</v>
      </c>
      <c r="P11">
        <v>0.56618999999999997</v>
      </c>
      <c r="Q11">
        <v>7.3643999999999998</v>
      </c>
      <c r="R11">
        <v>35.713000000000001</v>
      </c>
    </row>
    <row r="12" spans="1:18" ht="15" x14ac:dyDescent="0.25">
      <c r="B12" s="42"/>
      <c r="L12" s="42"/>
    </row>
    <row r="15" spans="1:18" x14ac:dyDescent="0.2">
      <c r="Q15" s="7"/>
    </row>
    <row r="16" spans="1:18" ht="15.75" x14ac:dyDescent="0.25">
      <c r="B16" s="30" t="s">
        <v>3</v>
      </c>
      <c r="C16" s="30" t="s">
        <v>67</v>
      </c>
      <c r="D16" s="30" t="s">
        <v>67</v>
      </c>
      <c r="E16" s="30" t="s">
        <v>67</v>
      </c>
      <c r="F16" s="30" t="s">
        <v>67</v>
      </c>
      <c r="G16" s="30" t="s">
        <v>67</v>
      </c>
      <c r="H16" s="30" t="s">
        <v>67</v>
      </c>
      <c r="L16" s="30" t="s">
        <v>3</v>
      </c>
      <c r="M16" s="30" t="s">
        <v>67</v>
      </c>
      <c r="N16" s="30" t="s">
        <v>67</v>
      </c>
      <c r="O16" s="30" t="s">
        <v>67</v>
      </c>
      <c r="P16" s="30" t="s">
        <v>67</v>
      </c>
      <c r="Q16" s="30" t="s">
        <v>67</v>
      </c>
      <c r="R16" s="30" t="s">
        <v>67</v>
      </c>
    </row>
    <row r="17" spans="2:21" x14ac:dyDescent="0.2">
      <c r="B17" s="8"/>
      <c r="C17" s="8">
        <v>0</v>
      </c>
      <c r="D17" s="9">
        <v>0.01</v>
      </c>
      <c r="E17" s="9">
        <v>0.03</v>
      </c>
      <c r="F17" s="9">
        <v>0.05</v>
      </c>
      <c r="G17" s="9">
        <v>0.1</v>
      </c>
      <c r="H17" s="9">
        <v>0.15</v>
      </c>
      <c r="L17" s="8"/>
      <c r="M17" s="8">
        <v>0</v>
      </c>
      <c r="N17" s="9">
        <v>0.01</v>
      </c>
      <c r="O17" s="9">
        <v>0.03</v>
      </c>
      <c r="P17" s="9">
        <v>0.05</v>
      </c>
      <c r="Q17" s="9">
        <v>0.1</v>
      </c>
      <c r="R17" s="9">
        <v>0.15</v>
      </c>
    </row>
    <row r="18" spans="2:21" ht="15" x14ac:dyDescent="0.25">
      <c r="B18" s="28">
        <f>1000*0.00341122292341805</f>
        <v>3.41122292341805</v>
      </c>
      <c r="C18" s="28">
        <f>LN(C7)</f>
        <v>-1.8062438634290285</v>
      </c>
      <c r="D18" s="28">
        <f t="shared" ref="D18:G18" si="2">LN(D7)</f>
        <v>-1.0287129650000244</v>
      </c>
      <c r="E18" s="28">
        <f t="shared" si="2"/>
        <v>-0.1321056154220048</v>
      </c>
      <c r="F18" s="28">
        <f t="shared" si="2"/>
        <v>0.82653005617720665</v>
      </c>
      <c r="G18" s="28">
        <f t="shared" si="2"/>
        <v>2.6815906700942391</v>
      </c>
      <c r="H18" s="28">
        <f>LN(H7)</f>
        <v>3.9297138078253204</v>
      </c>
      <c r="L18" s="65">
        <f>0.00341122292341805*1000</f>
        <v>3.41122292341805</v>
      </c>
      <c r="M18" s="28">
        <f t="shared" ref="M18:R18" si="3">LN(M7)</f>
        <v>-1.8062438634290285</v>
      </c>
      <c r="N18" s="28">
        <f t="shared" si="3"/>
        <v>-0.70702300609559332</v>
      </c>
      <c r="O18" s="65">
        <f t="shared" si="3"/>
        <v>0.9523911974988778</v>
      </c>
      <c r="P18" s="28">
        <f t="shared" si="3"/>
        <v>2.0499612363573276</v>
      </c>
      <c r="Q18" s="28">
        <f t="shared" si="3"/>
        <v>5.1259263384309905</v>
      </c>
      <c r="R18" s="28">
        <f t="shared" si="3"/>
        <v>7.0960589074536395</v>
      </c>
    </row>
    <row r="19" spans="2:21" ht="15" x14ac:dyDescent="0.25">
      <c r="B19" s="28">
        <f>0.0032986970146792*1000</f>
        <v>3.2986970146791998</v>
      </c>
      <c r="C19" s="28">
        <f t="shared" ref="C19:G19" si="4">LN(C8)</f>
        <v>-2.4564124917489281</v>
      </c>
      <c r="D19" s="28">
        <f t="shared" si="4"/>
        <v>-1.646978734741281</v>
      </c>
      <c r="E19" s="28">
        <f>LN(E8)</f>
        <v>-0.88065390193263604</v>
      </c>
      <c r="F19" s="28">
        <f t="shared" si="4"/>
        <v>-2.2527457484465965E-2</v>
      </c>
      <c r="G19" s="28">
        <f t="shared" si="4"/>
        <v>1.7062783361784961</v>
      </c>
      <c r="H19" s="28">
        <f>LN(H8)</f>
        <v>2.7733510597210427</v>
      </c>
      <c r="L19" s="65">
        <f>0.0032986970146792*1000</f>
        <v>3.2986970146791998</v>
      </c>
      <c r="M19" s="28">
        <f t="shared" ref="M19:O19" si="5">LN(M8)</f>
        <v>-2.4564124917489281</v>
      </c>
      <c r="N19" s="28">
        <f t="shared" si="5"/>
        <v>-1.4123098483231726</v>
      </c>
      <c r="O19" s="65">
        <f t="shared" si="5"/>
        <v>0.16033153890233937</v>
      </c>
      <c r="P19" s="28">
        <f t="shared" ref="P19:R22" si="6">LN(P8)</f>
        <v>1.2319770007355333</v>
      </c>
      <c r="Q19" s="28">
        <f t="shared" si="6"/>
        <v>4.158992452378663</v>
      </c>
      <c r="R19" s="28">
        <f t="shared" si="6"/>
        <v>5.9757923777136863</v>
      </c>
    </row>
    <row r="20" spans="2:21" ht="15" x14ac:dyDescent="0.25">
      <c r="B20" s="28">
        <f>1000*0.00319335781574325</f>
        <v>3.1933578157432496</v>
      </c>
      <c r="C20" s="28">
        <f t="shared" ref="C20:G20" si="7">LN(C9)</f>
        <v>-2.9724064482504944</v>
      </c>
      <c r="D20" s="28">
        <f t="shared" si="7"/>
        <v>-2.1892427187188477</v>
      </c>
      <c r="E20" s="28">
        <f t="shared" si="7"/>
        <v>-1.5197012705612354</v>
      </c>
      <c r="F20" s="28">
        <f t="shared" si="7"/>
        <v>-0.7229900519603385</v>
      </c>
      <c r="G20" s="28">
        <f t="shared" si="7"/>
        <v>0.9058798736420417</v>
      </c>
      <c r="H20" s="28">
        <f>LN(H9)</f>
        <v>1.8758009750850924</v>
      </c>
      <c r="L20" s="65">
        <f>0.00319335781574325*1000</f>
        <v>3.1933578157432496</v>
      </c>
      <c r="M20" s="28">
        <f t="shared" ref="M20:O20" si="8">LN(M9)</f>
        <v>-2.9724064482504944</v>
      </c>
      <c r="N20" s="28">
        <f t="shared" si="8"/>
        <v>-1.9902591896295048</v>
      </c>
      <c r="O20" s="65">
        <f t="shared" si="8"/>
        <v>-0.48994514618663548</v>
      </c>
      <c r="P20" s="28">
        <f t="shared" si="6"/>
        <v>0.54447314317820861</v>
      </c>
      <c r="Q20" s="28">
        <f t="shared" si="6"/>
        <v>3.3310252436851528</v>
      </c>
      <c r="R20" s="28">
        <f t="shared" si="6"/>
        <v>5.0804722536850351</v>
      </c>
      <c r="S20" s="8"/>
      <c r="T20" s="8" t="s">
        <v>79</v>
      </c>
      <c r="U20" s="8" t="s">
        <v>81</v>
      </c>
    </row>
    <row r="21" spans="2:21" ht="15" x14ac:dyDescent="0.25">
      <c r="B21" s="28">
        <f>1000*0.00309453814018258</f>
        <v>3.0945381401825798</v>
      </c>
      <c r="C21" s="28">
        <f t="shared" ref="C21:G21" si="9">LN(C10)</f>
        <v>-3.4170219320091269</v>
      </c>
      <c r="D21" s="28">
        <f t="shared" si="9"/>
        <v>-2.6116868192710734</v>
      </c>
      <c r="E21" s="28">
        <f t="shared" si="9"/>
        <v>-2.0562136965119842</v>
      </c>
      <c r="F21" s="28">
        <f t="shared" si="9"/>
        <v>-1.3508358858933189</v>
      </c>
      <c r="G21" s="28">
        <f t="shared" si="9"/>
        <v>0.21512222197107334</v>
      </c>
      <c r="H21" s="28">
        <f>LN(H10)</f>
        <v>1.1260313214338038</v>
      </c>
      <c r="L21" s="65">
        <f>0.00309453814018258*1000</f>
        <v>3.0945381401825798</v>
      </c>
      <c r="M21" s="28">
        <f t="shared" ref="M21:O21" si="10">LN(M10)</f>
        <v>-3.4170219320091269</v>
      </c>
      <c r="N21" s="28">
        <f t="shared" si="10"/>
        <v>-2.4775696316539966</v>
      </c>
      <c r="O21" s="65">
        <f t="shared" si="10"/>
        <v>-1.042052387234317</v>
      </c>
      <c r="P21" s="28">
        <f t="shared" si="6"/>
        <v>-5.1967205625253435E-2</v>
      </c>
      <c r="Q21" s="28">
        <f t="shared" si="6"/>
        <v>2.6161541863976732</v>
      </c>
      <c r="R21" s="28">
        <f t="shared" si="6"/>
        <v>4.2527717988166192</v>
      </c>
      <c r="S21" s="8">
        <v>0</v>
      </c>
      <c r="T21" s="8">
        <f>SLOPE(M18:M22,L18:L22)</f>
        <v>4.8122451706069507</v>
      </c>
      <c r="U21" s="8">
        <f>T21*8.314</f>
        <v>40.00900634842619</v>
      </c>
    </row>
    <row r="22" spans="2:21" ht="15" x14ac:dyDescent="0.25">
      <c r="B22" s="28">
        <f>1000*0.0030016509079994</f>
        <v>3.0016509079993998</v>
      </c>
      <c r="C22" s="28">
        <f t="shared" ref="C22:G22" si="11">LN(C11)</f>
        <v>-3.7813456817865299</v>
      </c>
      <c r="D22" s="28">
        <f t="shared" si="11"/>
        <v>-2.9616247662303672</v>
      </c>
      <c r="E22" s="28">
        <f t="shared" si="11"/>
        <v>-2.542813209955225</v>
      </c>
      <c r="F22" s="28">
        <f t="shared" si="11"/>
        <v>-1.8506656820116296</v>
      </c>
      <c r="G22" s="28">
        <f t="shared" si="11"/>
        <v>-0.40527745443933544</v>
      </c>
      <c r="H22" s="28">
        <f>LN(H11)</f>
        <v>0.48132819835101853</v>
      </c>
      <c r="L22" s="65">
        <f>0.0030016509079994*1000</f>
        <v>3.0016509079993998</v>
      </c>
      <c r="M22" s="28">
        <f t="shared" ref="M22" si="12">LN(M11)</f>
        <v>-3.7813456817865299</v>
      </c>
      <c r="N22" s="28">
        <f>LN(N11)</f>
        <v>-2.8996405810284833</v>
      </c>
      <c r="O22" s="65">
        <f t="shared" ref="O22" si="13">LN(O11)</f>
        <v>-1.5106791404108364</v>
      </c>
      <c r="P22" s="28">
        <f t="shared" si="6"/>
        <v>-0.56882556806397944</v>
      </c>
      <c r="Q22" s="28">
        <f t="shared" si="6"/>
        <v>1.9966575802009146</v>
      </c>
      <c r="R22" s="28">
        <f t="shared" si="6"/>
        <v>3.5755147681589174</v>
      </c>
      <c r="S22" s="8">
        <v>1</v>
      </c>
      <c r="T22" s="8">
        <f>SLOPE(N18:N22,L18:L22)</f>
        <v>5.3393289956266434</v>
      </c>
      <c r="U22" s="66">
        <f t="shared" ref="U22:U23" si="14">T22*8.314</f>
        <v>44.391181269639915</v>
      </c>
    </row>
    <row r="23" spans="2:21" x14ac:dyDescent="0.2">
      <c r="S23">
        <v>3</v>
      </c>
      <c r="T23" s="66">
        <f>SLOPE(O18:O22,L18:L22)</f>
        <v>6.0037104919203657</v>
      </c>
      <c r="U23" s="66">
        <f t="shared" si="14"/>
        <v>49.914849029825923</v>
      </c>
    </row>
    <row r="24" spans="2:21" x14ac:dyDescent="0.2">
      <c r="S24" s="8">
        <v>5</v>
      </c>
      <c r="T24" s="8">
        <f>SLOPE(P18:P22,L18:L22)</f>
        <v>6.3855828960055838</v>
      </c>
      <c r="U24" s="66">
        <f>T24*8.314</f>
        <v>53.089736197390422</v>
      </c>
    </row>
    <row r="25" spans="2:21" x14ac:dyDescent="0.2">
      <c r="S25" s="8">
        <v>10</v>
      </c>
      <c r="T25" s="8">
        <f>SLOPE(Q18:Q22,L18:L22)</f>
        <v>7.6380746283208376</v>
      </c>
      <c r="U25" s="66">
        <f>T25*8.314</f>
        <v>63.502952459859443</v>
      </c>
    </row>
    <row r="26" spans="2:21" x14ac:dyDescent="0.2">
      <c r="F26" t="s">
        <v>14</v>
      </c>
      <c r="S26" s="8">
        <v>15</v>
      </c>
      <c r="T26" s="8">
        <f>SLOPE(R18:R22,L18:L22)</f>
        <v>8.5821221878481158</v>
      </c>
      <c r="U26" s="66">
        <f>T26*8.314</f>
        <v>71.351763869769229</v>
      </c>
    </row>
    <row r="27" spans="2:21" x14ac:dyDescent="0.2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</row>
    <row r="28" spans="2:21" x14ac:dyDescent="0.2">
      <c r="B28" s="60"/>
      <c r="C28" s="60" t="s">
        <v>48</v>
      </c>
      <c r="D28" s="60"/>
      <c r="E28" s="60"/>
      <c r="F28" s="60"/>
      <c r="G28" s="60" t="s">
        <v>98</v>
      </c>
      <c r="H28" s="56"/>
      <c r="I28" s="60" t="s">
        <v>43</v>
      </c>
      <c r="J28" s="60"/>
      <c r="K28" s="60"/>
      <c r="L28" s="60"/>
    </row>
    <row r="29" spans="2:21" x14ac:dyDescent="0.2">
      <c r="B29" s="67"/>
      <c r="C29" s="67"/>
      <c r="D29" s="68" t="s">
        <v>89</v>
      </c>
      <c r="E29" s="68" t="s">
        <v>90</v>
      </c>
      <c r="F29" s="68" t="s">
        <v>91</v>
      </c>
      <c r="G29" s="68" t="s">
        <v>93</v>
      </c>
      <c r="H29" s="10"/>
      <c r="I29" s="10"/>
      <c r="J29" s="10" t="s">
        <v>89</v>
      </c>
      <c r="K29" s="10" t="s">
        <v>90</v>
      </c>
      <c r="L29" s="10" t="s">
        <v>94</v>
      </c>
      <c r="M29" s="10" t="s">
        <v>93</v>
      </c>
    </row>
    <row r="30" spans="2:21" ht="15" x14ac:dyDescent="0.25">
      <c r="B30" s="67">
        <v>0</v>
      </c>
      <c r="C30" s="67" t="s">
        <v>87</v>
      </c>
      <c r="D30" s="58">
        <f t="array" ref="D30:E31">LINEST(C18:C22,B18:B22,1, 1)</f>
        <v>4.8122451706069507</v>
      </c>
      <c r="E30" s="58">
        <v>-18.285357453508603</v>
      </c>
      <c r="F30" s="58">
        <f>D30*8.314</f>
        <v>40.00900634842619</v>
      </c>
      <c r="G30" s="59">
        <f>F30*D32</f>
        <v>1.6953639837053867</v>
      </c>
      <c r="H30" s="67">
        <v>0</v>
      </c>
      <c r="I30" s="67" t="s">
        <v>87</v>
      </c>
      <c r="J30" s="61">
        <f t="array" ref="J30:K31">LINEST(M18:M22,L18:L22, 1, 1)</f>
        <v>4.8122451706069507</v>
      </c>
      <c r="K30" s="61">
        <v>-18.285357453508603</v>
      </c>
      <c r="L30" s="61">
        <f>J30*8.314</f>
        <v>40.00900634842619</v>
      </c>
      <c r="M30" s="40">
        <f>L30*J32</f>
        <v>1.6953639837053867</v>
      </c>
      <c r="N30" s="28"/>
      <c r="O30" s="28"/>
      <c r="S30">
        <v>7</v>
      </c>
    </row>
    <row r="31" spans="2:21" ht="15" x14ac:dyDescent="0.25">
      <c r="B31" s="67"/>
      <c r="C31" s="67" t="s">
        <v>88</v>
      </c>
      <c r="D31" s="58">
        <v>0.20391676493930558</v>
      </c>
      <c r="E31" s="58">
        <v>0.65317982329518931</v>
      </c>
      <c r="F31" s="58"/>
      <c r="G31" s="59"/>
      <c r="H31" s="67"/>
      <c r="I31" s="67" t="s">
        <v>88</v>
      </c>
      <c r="J31" s="61">
        <v>0.20391676493930558</v>
      </c>
      <c r="K31" s="61">
        <v>0.65317982329518931</v>
      </c>
      <c r="L31" s="61"/>
      <c r="M31" s="40"/>
      <c r="N31" s="28"/>
      <c r="O31" s="28"/>
    </row>
    <row r="32" spans="2:21" ht="15" x14ac:dyDescent="0.25">
      <c r="B32" s="67"/>
      <c r="C32" s="67"/>
      <c r="D32" s="58">
        <f>D31/D30</f>
        <v>4.2374558591657605E-2</v>
      </c>
      <c r="E32" s="58"/>
      <c r="F32" s="58"/>
      <c r="G32" s="59"/>
      <c r="H32" s="67"/>
      <c r="I32" s="67"/>
      <c r="J32" s="61">
        <f>J31/J30</f>
        <v>4.2374558591657605E-2</v>
      </c>
      <c r="K32" s="61"/>
      <c r="L32" s="61"/>
      <c r="M32" s="40"/>
      <c r="N32" s="28"/>
      <c r="O32" s="28"/>
      <c r="P32">
        <v>20</v>
      </c>
      <c r="Q32">
        <v>0.16427</v>
      </c>
    </row>
    <row r="33" spans="2:17" ht="15" x14ac:dyDescent="0.25">
      <c r="B33" s="67"/>
      <c r="C33" s="67"/>
      <c r="D33" s="58"/>
      <c r="E33" s="58"/>
      <c r="F33" s="58"/>
      <c r="G33" s="59"/>
      <c r="H33" s="67"/>
      <c r="I33" s="67"/>
      <c r="J33" s="61"/>
      <c r="K33" s="61"/>
      <c r="L33" s="61"/>
      <c r="M33" s="40"/>
      <c r="N33" s="28"/>
      <c r="O33" s="28"/>
      <c r="P33">
        <v>25</v>
      </c>
      <c r="Q33">
        <v>0.11656999999999999</v>
      </c>
    </row>
    <row r="34" spans="2:17" ht="15" x14ac:dyDescent="0.25">
      <c r="B34" s="57">
        <v>0.01</v>
      </c>
      <c r="C34" s="67" t="s">
        <v>87</v>
      </c>
      <c r="D34" s="58">
        <f t="array" ref="D34:E35">LINEST(D18:D22,B18:B22, 1,1)</f>
        <v>4.7342603545593747</v>
      </c>
      <c r="E34" s="58">
        <v>-17.236777475773096</v>
      </c>
      <c r="F34" s="58">
        <f>D34*8.314</f>
        <v>39.360640587806643</v>
      </c>
      <c r="G34" s="59">
        <f>F30*D36</f>
        <v>1.7794032815949494</v>
      </c>
      <c r="H34" s="57">
        <v>0.01</v>
      </c>
      <c r="I34" s="67" t="s">
        <v>87</v>
      </c>
      <c r="J34" s="61">
        <f t="array" ref="J34:K35">LINEST(N18:N22,L18:L22,1,1)</f>
        <v>5.3393289956266425</v>
      </c>
      <c r="K34" s="61">
        <v>-18.982643853467049</v>
      </c>
      <c r="L34" s="61">
        <f>J34*8.314</f>
        <v>44.391181269639908</v>
      </c>
      <c r="M34" s="40">
        <f>L34*J36</f>
        <v>1.6561228763740092</v>
      </c>
      <c r="N34" s="28"/>
      <c r="O34" s="28"/>
      <c r="P34">
        <v>30</v>
      </c>
      <c r="Q34">
        <v>8.5741999999999999E-2</v>
      </c>
    </row>
    <row r="35" spans="2:17" ht="15" x14ac:dyDescent="0.25">
      <c r="B35" s="67"/>
      <c r="C35" s="67" t="s">
        <v>88</v>
      </c>
      <c r="D35" s="58">
        <v>0.2105565516290108</v>
      </c>
      <c r="E35" s="58">
        <v>0.67444818099000803</v>
      </c>
      <c r="F35" s="58"/>
      <c r="G35" s="59"/>
      <c r="H35" s="67"/>
      <c r="I35" s="67" t="s">
        <v>88</v>
      </c>
      <c r="J35" s="61">
        <v>0.19919688193096091</v>
      </c>
      <c r="K35" s="61">
        <v>0.63806124120959107</v>
      </c>
      <c r="L35" s="61"/>
      <c r="M35" s="40"/>
      <c r="N35" s="28"/>
      <c r="O35" s="28"/>
      <c r="P35">
        <v>35</v>
      </c>
      <c r="Q35">
        <v>6.5078999999999998E-2</v>
      </c>
    </row>
    <row r="36" spans="2:17" ht="15" x14ac:dyDescent="0.25">
      <c r="B36" s="67"/>
      <c r="C36" s="67"/>
      <c r="D36" s="58">
        <f>D35/D34</f>
        <v>4.4475068090886111E-2</v>
      </c>
      <c r="E36" s="58"/>
      <c r="F36" s="58"/>
      <c r="G36" s="59"/>
      <c r="H36" s="67"/>
      <c r="I36" s="67"/>
      <c r="J36" s="61">
        <f>J35/J34</f>
        <v>3.730747479582544E-2</v>
      </c>
      <c r="K36" s="61"/>
      <c r="L36" s="61"/>
      <c r="M36" s="40"/>
      <c r="N36" s="28"/>
      <c r="O36" s="28"/>
      <c r="P36">
        <v>40</v>
      </c>
      <c r="Q36">
        <v>5.1180000000000003E-2</v>
      </c>
    </row>
    <row r="37" spans="2:17" ht="15" x14ac:dyDescent="0.25">
      <c r="B37" s="67"/>
      <c r="C37" s="67"/>
      <c r="D37" s="58"/>
      <c r="E37" s="58"/>
      <c r="F37" s="58"/>
      <c r="G37" s="59"/>
      <c r="H37" s="67"/>
      <c r="I37" s="67"/>
      <c r="J37" s="61"/>
      <c r="K37" s="61"/>
      <c r="L37" s="61"/>
      <c r="M37" s="40"/>
      <c r="N37" s="28"/>
      <c r="O37" s="28"/>
      <c r="P37">
        <v>45</v>
      </c>
      <c r="Q37">
        <v>3.9668000000000002E-2</v>
      </c>
    </row>
    <row r="38" spans="2:17" x14ac:dyDescent="0.2">
      <c r="B38" s="57">
        <v>0.03</v>
      </c>
      <c r="C38" s="67" t="s">
        <v>87</v>
      </c>
      <c r="D38" s="58">
        <f t="array" ref="D38:E39">LINEST(E18:E22,B18:B22, 1, 1)</f>
        <v>5.8716413713122098</v>
      </c>
      <c r="E38" s="58">
        <v>-20.214923777614906</v>
      </c>
      <c r="F38" s="58">
        <f>D38*8.314</f>
        <v>48.81682636108971</v>
      </c>
      <c r="G38" s="59">
        <f>F38*D40</f>
        <v>1.4407155653149188</v>
      </c>
      <c r="H38" s="57">
        <v>0.03</v>
      </c>
      <c r="I38" s="67" t="s">
        <v>87</v>
      </c>
      <c r="J38" s="61">
        <f t="array" ref="J38:K39">LINEST(O18:O22,L18:L22,1,1)</f>
        <v>6.0037104919203648</v>
      </c>
      <c r="K38" s="61">
        <v>-19.597224128372901</v>
      </c>
      <c r="L38" s="61">
        <f>J38*8.314</f>
        <v>49.914849029825916</v>
      </c>
      <c r="M38" s="40">
        <f>L38*J40</f>
        <v>1.8794372262913324</v>
      </c>
      <c r="P38">
        <v>50</v>
      </c>
      <c r="Q38">
        <v>3.2809999999999999E-2</v>
      </c>
    </row>
    <row r="39" spans="2:17" x14ac:dyDescent="0.2">
      <c r="B39" s="67"/>
      <c r="C39" s="67" t="s">
        <v>88</v>
      </c>
      <c r="D39" s="58">
        <v>0.17328789575594405</v>
      </c>
      <c r="E39" s="58">
        <v>0.55507038454024316</v>
      </c>
      <c r="F39" s="58"/>
      <c r="G39" s="59"/>
      <c r="H39" s="67"/>
      <c r="I39" s="67" t="s">
        <v>88</v>
      </c>
      <c r="J39" s="61">
        <v>0.22605691920752133</v>
      </c>
      <c r="K39" s="61">
        <v>0.72409847511347303</v>
      </c>
      <c r="L39" s="61"/>
      <c r="M39" s="40"/>
      <c r="P39">
        <v>55</v>
      </c>
      <c r="Q39">
        <v>2.7089999999999999E-2</v>
      </c>
    </row>
    <row r="40" spans="2:17" x14ac:dyDescent="0.2">
      <c r="B40" s="67"/>
      <c r="C40" s="67"/>
      <c r="D40" s="58">
        <f>D39/D38</f>
        <v>2.9512683898338502E-2</v>
      </c>
      <c r="E40" s="58"/>
      <c r="F40" s="58"/>
      <c r="G40" s="59"/>
      <c r="H40" s="67"/>
      <c r="I40" s="67"/>
      <c r="J40" s="61">
        <f>J39/J38</f>
        <v>3.7652868090781985E-2</v>
      </c>
      <c r="K40" s="61"/>
      <c r="L40" s="61"/>
      <c r="M40" s="40"/>
      <c r="P40">
        <v>60</v>
      </c>
      <c r="Q40">
        <v>2.2792E-2</v>
      </c>
    </row>
    <row r="41" spans="2:17" x14ac:dyDescent="0.2">
      <c r="B41" s="67"/>
      <c r="C41" s="67"/>
      <c r="D41" s="58"/>
      <c r="E41" s="58"/>
      <c r="F41" s="58"/>
      <c r="G41" s="59"/>
    </row>
    <row r="42" spans="2:17" x14ac:dyDescent="0.2">
      <c r="B42" s="57">
        <v>0.05</v>
      </c>
      <c r="C42" s="67" t="s">
        <v>87</v>
      </c>
      <c r="D42" s="58">
        <f t="array" ref="D42:E43">LINEST(F18:F22,B18:B22,1,1)</f>
        <v>6.545259700635877</v>
      </c>
      <c r="E42" s="58">
        <v>-21.568230862422372</v>
      </c>
      <c r="F42" s="58">
        <f>D42*8.314</f>
        <v>54.417289151086685</v>
      </c>
      <c r="G42" s="59">
        <f>F42*D44</f>
        <v>1.883736809906841</v>
      </c>
      <c r="H42" s="57">
        <v>0.05</v>
      </c>
      <c r="I42" s="67" t="s">
        <v>87</v>
      </c>
      <c r="J42" s="61">
        <f t="array" ref="J42:K43">LINEST(P18:P22,L18:L22,1,1)</f>
        <v>6.3855828960055829</v>
      </c>
      <c r="K42" s="61">
        <v>-19.792060589924407</v>
      </c>
      <c r="L42" s="61">
        <f>J42*8.314</f>
        <v>53.089736197390415</v>
      </c>
      <c r="M42" s="40">
        <f>L42*J44</f>
        <v>1.6026544855940408</v>
      </c>
    </row>
    <row r="43" spans="2:17" x14ac:dyDescent="0.2">
      <c r="B43" s="67"/>
      <c r="C43" s="67" t="s">
        <v>88</v>
      </c>
      <c r="D43" s="58">
        <v>0.22657406902896812</v>
      </c>
      <c r="E43" s="58">
        <v>0.72575499329671456</v>
      </c>
      <c r="F43" s="58"/>
      <c r="G43" s="59"/>
      <c r="H43" s="67"/>
      <c r="I43" s="67" t="s">
        <v>88</v>
      </c>
      <c r="J43" s="61">
        <v>0.19276575482247302</v>
      </c>
      <c r="K43" s="61">
        <v>0.61746125537928753</v>
      </c>
      <c r="L43" s="61"/>
      <c r="M43" s="40"/>
    </row>
    <row r="44" spans="2:17" x14ac:dyDescent="0.2">
      <c r="B44" s="67"/>
      <c r="C44" s="67"/>
      <c r="D44" s="58">
        <f>D43/D42</f>
        <v>3.461651323124066E-2</v>
      </c>
      <c r="E44" s="58"/>
      <c r="F44" s="58"/>
      <c r="G44" s="59"/>
      <c r="H44" s="67"/>
      <c r="I44" s="67"/>
      <c r="J44" s="61">
        <f>J43/J42</f>
        <v>3.0187652084675793E-2</v>
      </c>
      <c r="K44" s="61"/>
      <c r="L44" s="61"/>
      <c r="M44" s="40"/>
    </row>
    <row r="45" spans="2:17" x14ac:dyDescent="0.2">
      <c r="B45" s="67"/>
      <c r="C45" s="67"/>
      <c r="D45" s="58"/>
      <c r="E45" s="58"/>
      <c r="F45" s="58"/>
      <c r="G45" s="59"/>
      <c r="H45" s="67"/>
      <c r="I45" s="67"/>
      <c r="J45" s="61"/>
      <c r="K45" s="61"/>
      <c r="L45" s="61"/>
      <c r="M45" s="40"/>
    </row>
    <row r="46" spans="2:17" x14ac:dyDescent="0.2">
      <c r="B46" s="67"/>
      <c r="C46" s="67"/>
      <c r="D46" s="58"/>
      <c r="E46" s="58"/>
      <c r="F46" s="58"/>
      <c r="G46" s="59"/>
      <c r="H46" s="57">
        <v>0.1</v>
      </c>
      <c r="I46" s="67" t="s">
        <v>87</v>
      </c>
      <c r="J46" s="61">
        <f t="array" ref="J46:K47">LINEST(Q18:Q22,L18:L22,1,1)</f>
        <v>7.6380746283208358</v>
      </c>
      <c r="K46" s="61">
        <v>-20.995273129219203</v>
      </c>
      <c r="L46" s="61">
        <f>J46*8.314</f>
        <v>63.502952459859429</v>
      </c>
      <c r="M46" s="40">
        <f>L46*J48</f>
        <v>1.8234258364329317</v>
      </c>
    </row>
    <row r="47" spans="2:17" x14ac:dyDescent="0.2">
      <c r="B47" s="57">
        <v>0.1</v>
      </c>
      <c r="C47" s="67" t="s">
        <v>87</v>
      </c>
      <c r="D47" s="58">
        <f t="array" ref="D47:E48">LINEST(G18:G22,B18:B22, 1, 1)</f>
        <v>7.50532169041744</v>
      </c>
      <c r="E47" s="58">
        <v>-22.995510315377309</v>
      </c>
      <c r="F47" s="58">
        <f>D47*8.314</f>
        <v>62.399244534130595</v>
      </c>
      <c r="G47" s="59">
        <f>F47*D49</f>
        <v>1.9386130714390799</v>
      </c>
      <c r="H47" s="67"/>
      <c r="I47" s="67" t="s">
        <v>88</v>
      </c>
      <c r="J47" s="61">
        <v>0.2193199225923661</v>
      </c>
      <c r="K47" s="61">
        <v>0.70251873761647443</v>
      </c>
      <c r="L47" s="61"/>
      <c r="M47" s="40"/>
    </row>
    <row r="48" spans="2:17" x14ac:dyDescent="0.2">
      <c r="B48" s="67"/>
      <c r="C48" s="67" t="s">
        <v>88</v>
      </c>
      <c r="D48" s="58">
        <v>0.23317453349038728</v>
      </c>
      <c r="E48" s="58">
        <v>0.74689739525596077</v>
      </c>
      <c r="F48" s="58"/>
      <c r="G48" s="59"/>
      <c r="H48" s="67"/>
      <c r="I48" s="67"/>
      <c r="J48" s="61">
        <f>J47/J46</f>
        <v>2.8714032431571262E-2</v>
      </c>
      <c r="K48" s="61"/>
      <c r="L48" s="61"/>
      <c r="M48" s="40"/>
    </row>
    <row r="49" spans="2:13" x14ac:dyDescent="0.2">
      <c r="B49" s="67"/>
      <c r="C49" s="67"/>
      <c r="D49" s="58">
        <f>D48/D47</f>
        <v>3.106789330404015E-2</v>
      </c>
      <c r="E49" s="58"/>
      <c r="F49" s="58"/>
      <c r="G49" s="59"/>
      <c r="H49" s="67"/>
      <c r="I49" s="67"/>
      <c r="J49" s="61"/>
      <c r="K49" s="61"/>
      <c r="L49" s="61"/>
      <c r="M49" s="40"/>
    </row>
    <row r="50" spans="2:13" x14ac:dyDescent="0.2">
      <c r="B50" s="67"/>
      <c r="C50" s="67"/>
      <c r="D50" s="58"/>
      <c r="E50" s="58"/>
      <c r="F50" s="58"/>
      <c r="G50" s="59"/>
      <c r="H50" s="57">
        <v>0.15</v>
      </c>
      <c r="I50" s="67" t="s">
        <v>87</v>
      </c>
      <c r="J50" s="61">
        <f t="array" ref="J50:K51">LINEST(R18:R22,L18:L22,1,1)</f>
        <v>8.5821221878481158</v>
      </c>
      <c r="K50" s="61">
        <v>-22.265753785909709</v>
      </c>
      <c r="L50" s="61">
        <f>J50*8.314</f>
        <v>71.351763869769229</v>
      </c>
      <c r="M50" s="40">
        <f>L50*J52</f>
        <v>2.2822621920320745</v>
      </c>
    </row>
    <row r="51" spans="2:13" x14ac:dyDescent="0.2">
      <c r="B51" s="57">
        <v>0.15</v>
      </c>
      <c r="C51" s="67" t="s">
        <v>87</v>
      </c>
      <c r="D51" s="58">
        <f t="array" ref="D51:E52">LINEST(H18:H22,B18:B22,1,1)</f>
        <v>8.3742985651565522</v>
      </c>
      <c r="E51" s="58">
        <v>-24.759617304206092</v>
      </c>
      <c r="F51" s="58">
        <f>D51*8.314</f>
        <v>69.62391827071157</v>
      </c>
      <c r="G51" s="59">
        <f>F51*D53</f>
        <v>3.1959756632161769</v>
      </c>
      <c r="H51" s="67"/>
      <c r="I51" s="67" t="s">
        <v>88</v>
      </c>
      <c r="J51" s="61">
        <v>0.27450832235170491</v>
      </c>
      <c r="K51" s="61">
        <v>0.87929649894217321</v>
      </c>
      <c r="L51" s="61"/>
      <c r="M51" s="40"/>
    </row>
    <row r="52" spans="2:13" x14ac:dyDescent="0.2">
      <c r="B52" s="67"/>
      <c r="C52" s="67" t="s">
        <v>88</v>
      </c>
      <c r="D52" s="58">
        <v>0.38440890825308843</v>
      </c>
      <c r="E52" s="58">
        <v>1.2313266289830735</v>
      </c>
      <c r="F52" s="58" t="s">
        <v>14</v>
      </c>
      <c r="G52" s="59"/>
      <c r="J52" s="61">
        <f>J51/J50</f>
        <v>3.1986065490933684E-2</v>
      </c>
      <c r="K52" s="61"/>
      <c r="L52" s="61"/>
      <c r="M52" s="40"/>
    </row>
    <row r="53" spans="2:13" x14ac:dyDescent="0.2">
      <c r="D53" s="26">
        <f>D52/D51</f>
        <v>4.5903415702483033E-2</v>
      </c>
      <c r="E53" s="26"/>
      <c r="F53" s="26"/>
      <c r="G53" s="59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1"/>
  <sheetViews>
    <sheetView topLeftCell="A13" workbookViewId="0">
      <selection activeCell="D24" sqref="D24:D28"/>
    </sheetView>
  </sheetViews>
  <sheetFormatPr defaultRowHeight="12.75" x14ac:dyDescent="0.2"/>
  <sheetData>
    <row r="3" spans="1:5" ht="20.25" x14ac:dyDescent="0.3">
      <c r="A3" s="39" t="s">
        <v>73</v>
      </c>
    </row>
    <row r="4" spans="1:5" ht="20.25" x14ac:dyDescent="0.3">
      <c r="A4" s="39" t="s">
        <v>71</v>
      </c>
      <c r="D4" s="39" t="s">
        <v>72</v>
      </c>
    </row>
    <row r="5" spans="1:5" x14ac:dyDescent="0.2">
      <c r="B5" t="s">
        <v>69</v>
      </c>
      <c r="E5" t="s">
        <v>69</v>
      </c>
    </row>
    <row r="6" spans="1:5" x14ac:dyDescent="0.2">
      <c r="A6" s="38">
        <v>0</v>
      </c>
      <c r="B6" s="37">
        <v>40.00900634842634</v>
      </c>
      <c r="D6" s="38">
        <v>0</v>
      </c>
      <c r="E6" s="37">
        <v>40.00900634842634</v>
      </c>
    </row>
    <row r="7" spans="1:5" x14ac:dyDescent="0.2">
      <c r="A7" s="38">
        <v>1</v>
      </c>
      <c r="B7" s="37">
        <v>39.360640587806799</v>
      </c>
      <c r="D7" s="38">
        <v>1</v>
      </c>
      <c r="E7" s="37">
        <v>44.391181269640079</v>
      </c>
    </row>
    <row r="8" spans="1:5" x14ac:dyDescent="0.2">
      <c r="A8" s="38">
        <v>3</v>
      </c>
      <c r="B8" s="37">
        <v>48.816826361089902</v>
      </c>
      <c r="D8" s="38">
        <v>5</v>
      </c>
      <c r="E8" s="37">
        <v>53.089736197390629</v>
      </c>
    </row>
    <row r="9" spans="1:5" x14ac:dyDescent="0.2">
      <c r="A9" s="38">
        <v>5</v>
      </c>
      <c r="B9" s="37">
        <v>54.417289151086898</v>
      </c>
      <c r="D9" s="38">
        <v>10</v>
      </c>
      <c r="E9" s="37">
        <v>63.502952459859692</v>
      </c>
    </row>
    <row r="10" spans="1:5" x14ac:dyDescent="0.2">
      <c r="A10" s="38">
        <v>10</v>
      </c>
      <c r="B10" s="37">
        <v>61.285440393468022</v>
      </c>
      <c r="D10" s="38">
        <v>15</v>
      </c>
      <c r="E10" s="37">
        <v>71.351763869769513</v>
      </c>
    </row>
    <row r="11" spans="1:5" x14ac:dyDescent="0.2">
      <c r="A11" s="38">
        <v>15</v>
      </c>
      <c r="B11" s="37">
        <v>69.961128054101209</v>
      </c>
    </row>
    <row r="19" spans="1:5" ht="20.25" x14ac:dyDescent="0.3">
      <c r="A19" s="39" t="s">
        <v>74</v>
      </c>
      <c r="B19" s="39"/>
      <c r="C19" s="39"/>
    </row>
    <row r="20" spans="1:5" ht="20.25" x14ac:dyDescent="0.3">
      <c r="B20" s="39" t="s">
        <v>71</v>
      </c>
      <c r="D20" s="39" t="s">
        <v>72</v>
      </c>
    </row>
    <row r="21" spans="1:5" x14ac:dyDescent="0.2">
      <c r="A21" s="40" t="s">
        <v>75</v>
      </c>
      <c r="B21" s="40" t="s">
        <v>69</v>
      </c>
      <c r="C21" s="40"/>
      <c r="D21" s="40" t="s">
        <v>69</v>
      </c>
    </row>
    <row r="22" spans="1:5" x14ac:dyDescent="0.2">
      <c r="A22" s="40"/>
      <c r="B22" s="40"/>
      <c r="C22" s="40"/>
      <c r="D22" s="40"/>
    </row>
    <row r="23" spans="1:5" x14ac:dyDescent="0.2">
      <c r="A23">
        <v>0</v>
      </c>
      <c r="B23" s="37">
        <v>30.915980635823306</v>
      </c>
      <c r="D23" s="13">
        <v>30.806053955248252</v>
      </c>
      <c r="E23">
        <f>D23/B23</f>
        <v>0.99644434113638702</v>
      </c>
    </row>
    <row r="24" spans="1:5" x14ac:dyDescent="0.2">
      <c r="A24">
        <v>1</v>
      </c>
      <c r="B24" s="37">
        <v>32.041346186899105</v>
      </c>
      <c r="D24" s="13">
        <v>29.824105359941687</v>
      </c>
      <c r="E24">
        <f t="shared" ref="E24:E28" si="0">D24/B24</f>
        <v>0.93080063446697525</v>
      </c>
    </row>
    <row r="25" spans="1:5" x14ac:dyDescent="0.2">
      <c r="A25">
        <v>3</v>
      </c>
      <c r="B25" s="37">
        <v>29.722705201597552</v>
      </c>
      <c r="D25" s="13">
        <v>30.61331200622978</v>
      </c>
      <c r="E25">
        <f t="shared" si="0"/>
        <v>1.0299638541845901</v>
      </c>
    </row>
    <row r="26" spans="1:5" x14ac:dyDescent="0.2">
      <c r="A26">
        <v>5</v>
      </c>
      <c r="B26" s="37">
        <v>32.569392704619354</v>
      </c>
      <c r="D26" s="13">
        <v>27.301490385546749</v>
      </c>
      <c r="E26">
        <f t="shared" si="0"/>
        <v>0.83825604711611801</v>
      </c>
    </row>
    <row r="27" spans="1:5" x14ac:dyDescent="0.2">
      <c r="A27">
        <v>10</v>
      </c>
      <c r="B27" s="37">
        <v>26.385408075098621</v>
      </c>
      <c r="D27" s="13">
        <v>30.434373247011226</v>
      </c>
      <c r="E27">
        <f t="shared" si="0"/>
        <v>1.1534547110428752</v>
      </c>
    </row>
    <row r="28" spans="1:5" x14ac:dyDescent="0.2">
      <c r="A28">
        <v>15</v>
      </c>
      <c r="B28" s="37">
        <v>23.293169244896621</v>
      </c>
      <c r="D28" s="13">
        <v>24.518544099561264</v>
      </c>
      <c r="E28">
        <f t="shared" si="0"/>
        <v>1.0526066179222526</v>
      </c>
    </row>
    <row r="29" spans="1:5" x14ac:dyDescent="0.2">
      <c r="D29" s="37"/>
    </row>
    <row r="30" spans="1:5" x14ac:dyDescent="0.2">
      <c r="D30" s="37"/>
    </row>
    <row r="31" spans="1:5" ht="20.25" x14ac:dyDescent="0.3">
      <c r="A31" s="39" t="s">
        <v>76</v>
      </c>
      <c r="B31" s="39"/>
      <c r="C31" s="39"/>
    </row>
    <row r="33" spans="1:4" ht="20.25" x14ac:dyDescent="0.3">
      <c r="B33" s="39" t="s">
        <v>71</v>
      </c>
      <c r="D33" s="39" t="s">
        <v>72</v>
      </c>
    </row>
    <row r="34" spans="1:4" x14ac:dyDescent="0.2">
      <c r="A34" s="8"/>
      <c r="B34" s="8" t="s">
        <v>69</v>
      </c>
      <c r="C34" s="8"/>
      <c r="D34" s="8"/>
    </row>
    <row r="35" spans="1:4" x14ac:dyDescent="0.2">
      <c r="A35" s="8"/>
      <c r="B35" s="8"/>
      <c r="C35" s="8"/>
      <c r="D35" s="8"/>
    </row>
    <row r="36" spans="1:4" x14ac:dyDescent="0.2">
      <c r="A36">
        <v>0</v>
      </c>
      <c r="B36" s="37">
        <v>33.373569589480155</v>
      </c>
      <c r="D36">
        <v>32.654518065433663</v>
      </c>
    </row>
    <row r="37" spans="1:4" x14ac:dyDescent="0.2">
      <c r="A37">
        <v>1</v>
      </c>
      <c r="B37" s="37">
        <v>32.541363854565773</v>
      </c>
      <c r="D37">
        <v>34.06835867095149</v>
      </c>
    </row>
    <row r="38" spans="1:4" x14ac:dyDescent="0.2">
      <c r="A38">
        <v>3</v>
      </c>
      <c r="B38" s="37">
        <v>31.925301774629922</v>
      </c>
      <c r="D38">
        <v>35.320755160317574</v>
      </c>
    </row>
    <row r="39" spans="1:4" x14ac:dyDescent="0.2">
      <c r="A39">
        <v>5</v>
      </c>
      <c r="B39" s="37">
        <v>30.776555754992845</v>
      </c>
      <c r="D39">
        <v>35.050604889577201</v>
      </c>
    </row>
    <row r="40" spans="1:4" x14ac:dyDescent="0.2">
      <c r="A40">
        <v>10</v>
      </c>
      <c r="B40" s="37">
        <v>29.812629217202819</v>
      </c>
      <c r="D40">
        <v>37.782146719696463</v>
      </c>
    </row>
    <row r="41" spans="1:4" x14ac:dyDescent="0.2">
      <c r="A41">
        <v>15</v>
      </c>
      <c r="B41" s="37">
        <v>31.231912792782211</v>
      </c>
      <c r="D41">
        <v>44.153568390639521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53"/>
  <sheetViews>
    <sheetView topLeftCell="A3" zoomScaleNormal="100" workbookViewId="0">
      <selection activeCell="N49" sqref="N49"/>
    </sheetView>
  </sheetViews>
  <sheetFormatPr defaultRowHeight="12.75" x14ac:dyDescent="0.2"/>
  <sheetData>
    <row r="3" spans="1:15" ht="15.75" customHeight="1" x14ac:dyDescent="0.25">
      <c r="B3" s="22"/>
      <c r="N3" t="s">
        <v>66</v>
      </c>
    </row>
    <row r="4" spans="1:15" ht="12.75" customHeight="1" x14ac:dyDescent="0.2">
      <c r="B4" s="5" t="s">
        <v>77</v>
      </c>
      <c r="C4" s="45"/>
      <c r="D4" s="5" t="s">
        <v>63</v>
      </c>
      <c r="E4" s="26" t="s">
        <v>60</v>
      </c>
      <c r="F4" s="5" t="s">
        <v>63</v>
      </c>
      <c r="G4" s="26" t="s">
        <v>61</v>
      </c>
      <c r="H4" s="5" t="s">
        <v>63</v>
      </c>
      <c r="I4" s="26" t="s">
        <v>60</v>
      </c>
      <c r="J4" s="5" t="s">
        <v>63</v>
      </c>
      <c r="K4" s="26" t="s">
        <v>61</v>
      </c>
      <c r="L4" s="5" t="s">
        <v>63</v>
      </c>
      <c r="M4" s="26" t="s">
        <v>61</v>
      </c>
      <c r="N4" s="5" t="s">
        <v>63</v>
      </c>
      <c r="O4" s="26" t="s">
        <v>61</v>
      </c>
    </row>
    <row r="5" spans="1:15" ht="12.75" customHeight="1" x14ac:dyDescent="0.2">
      <c r="B5" s="5"/>
      <c r="C5" s="46">
        <v>0</v>
      </c>
      <c r="D5" s="5"/>
      <c r="E5" s="27">
        <v>0.01</v>
      </c>
      <c r="F5" s="5"/>
      <c r="G5" s="27">
        <v>0.03</v>
      </c>
      <c r="H5" s="5"/>
      <c r="I5" s="27">
        <v>0.05</v>
      </c>
      <c r="J5" s="5"/>
      <c r="K5" s="27">
        <v>0.1</v>
      </c>
      <c r="L5" s="5"/>
      <c r="M5" s="27">
        <v>0.15</v>
      </c>
      <c r="N5" s="17"/>
      <c r="O5" s="27" t="s">
        <v>5</v>
      </c>
    </row>
    <row r="6" spans="1:15" ht="15.75" x14ac:dyDescent="0.25">
      <c r="A6" s="3">
        <v>30</v>
      </c>
      <c r="B6" s="5">
        <v>3535.6068204613839</v>
      </c>
      <c r="C6">
        <f>159.24/1000</f>
        <v>0.15924000000000002</v>
      </c>
      <c r="D6" s="28">
        <v>1573.7340767214114</v>
      </c>
      <c r="E6">
        <v>0.10418000000000001</v>
      </c>
      <c r="F6" s="28">
        <v>731.34231583168992</v>
      </c>
      <c r="G6">
        <v>7.4590000000000004E-2</v>
      </c>
      <c r="H6" s="28">
        <v>310.05670186714997</v>
      </c>
      <c r="I6">
        <v>6.3150999999999999E-2</v>
      </c>
      <c r="J6" s="28">
        <v>55.006671029948869</v>
      </c>
      <c r="K6">
        <v>3.3360000000000001E-2</v>
      </c>
      <c r="L6" s="41">
        <v>18.93243659120407</v>
      </c>
      <c r="M6">
        <v>2.426E-2</v>
      </c>
      <c r="N6" s="43">
        <v>4.9843513501258805</v>
      </c>
      <c r="O6">
        <f>57.98/1000</f>
        <v>5.7979999999999997E-2</v>
      </c>
    </row>
    <row r="7" spans="1:15" ht="15.75" x14ac:dyDescent="0.25">
      <c r="A7" s="3">
        <v>40</v>
      </c>
      <c r="B7" s="5">
        <v>6118.601016021883</v>
      </c>
      <c r="C7">
        <f>233.08/1000</f>
        <v>0.23308000000000001</v>
      </c>
      <c r="D7" s="28">
        <v>2795.9438690084812</v>
      </c>
      <c r="E7">
        <v>0.16750000000000001</v>
      </c>
      <c r="F7" s="28">
        <v>1431.3646652223233</v>
      </c>
      <c r="G7">
        <v>0.11104</v>
      </c>
      <c r="H7" s="28">
        <v>645.27227591989833</v>
      </c>
      <c r="I7">
        <v>8.7150000000000005E-2</v>
      </c>
      <c r="J7" s="28">
        <v>126.5102480194968</v>
      </c>
      <c r="K7">
        <v>4.7899999999999998E-2</v>
      </c>
      <c r="L7" s="41">
        <v>47.98465795534527</v>
      </c>
      <c r="M7">
        <v>2.972E-2</v>
      </c>
      <c r="N7" s="43">
        <v>11.463406538430213</v>
      </c>
      <c r="O7">
        <f>76.4/1000</f>
        <v>7.640000000000001E-2</v>
      </c>
    </row>
    <row r="8" spans="1:15" ht="15.75" x14ac:dyDescent="0.25">
      <c r="A8" s="3">
        <v>50</v>
      </c>
      <c r="B8" s="5">
        <v>9849.1313623895148</v>
      </c>
      <c r="C8">
        <f>333.7/1000</f>
        <v>0.3337</v>
      </c>
      <c r="D8" s="28">
        <v>4401.9523217277028</v>
      </c>
      <c r="E8">
        <v>0.24224000000000001</v>
      </c>
      <c r="F8" s="44">
        <v>2525.8434062682413</v>
      </c>
      <c r="G8">
        <v>0.16153000000000001</v>
      </c>
      <c r="H8" s="28">
        <v>1247.5694502288738</v>
      </c>
      <c r="I8">
        <v>0.11473999999999999</v>
      </c>
      <c r="J8" s="28">
        <v>260.48104672467906</v>
      </c>
      <c r="K8">
        <v>6.4840000000000009E-2</v>
      </c>
      <c r="L8" s="41">
        <v>104.8033031791342</v>
      </c>
      <c r="M8">
        <v>4.0259999999999997E-2</v>
      </c>
      <c r="N8" s="43">
        <v>25.022807585062353</v>
      </c>
      <c r="O8">
        <f>95.17/1000</f>
        <v>9.5170000000000005E-2</v>
      </c>
    </row>
    <row r="9" spans="1:15" ht="15.75" customHeight="1" x14ac:dyDescent="0.25">
      <c r="A9" s="3">
        <v>60</v>
      </c>
      <c r="B9" s="5">
        <v>14616.970866970865</v>
      </c>
      <c r="C9">
        <f>465.34/1000</f>
        <v>0.46533999999999998</v>
      </c>
      <c r="D9" s="28">
        <v>6439.5735968619647</v>
      </c>
      <c r="E9">
        <v>0.35043999999999997</v>
      </c>
      <c r="F9" s="28">
        <v>4236.1327678197304</v>
      </c>
      <c r="G9">
        <v>0.22572999999999999</v>
      </c>
      <c r="H9" s="28">
        <v>2120.184773162413</v>
      </c>
      <c r="I9">
        <v>0.15738999999999997</v>
      </c>
      <c r="J9" s="28">
        <v>499.40627578654124</v>
      </c>
      <c r="K9">
        <v>8.7779999999999997E-2</v>
      </c>
      <c r="L9" s="41">
        <v>205.87406371551202</v>
      </c>
      <c r="M9">
        <v>5.4219999999999997E-2</v>
      </c>
      <c r="N9" s="43">
        <v>47.592179738024015</v>
      </c>
      <c r="O9">
        <f>131.33/1000</f>
        <v>0.13133</v>
      </c>
    </row>
    <row r="10" spans="1:15" x14ac:dyDescent="0.2">
      <c r="A10" s="64"/>
    </row>
    <row r="14" spans="1:15" x14ac:dyDescent="0.2">
      <c r="O14" t="s">
        <v>66</v>
      </c>
    </row>
    <row r="15" spans="1:15" x14ac:dyDescent="0.2">
      <c r="B15" s="5" t="s">
        <v>64</v>
      </c>
      <c r="C15" s="45" t="s">
        <v>65</v>
      </c>
      <c r="D15" s="5" t="s">
        <v>64</v>
      </c>
      <c r="E15" s="26" t="s">
        <v>65</v>
      </c>
      <c r="F15" s="5" t="s">
        <v>64</v>
      </c>
      <c r="G15" s="26" t="s">
        <v>65</v>
      </c>
      <c r="H15" s="5" t="s">
        <v>64</v>
      </c>
      <c r="I15" s="26" t="s">
        <v>65</v>
      </c>
      <c r="J15" s="5" t="s">
        <v>64</v>
      </c>
      <c r="K15" s="26" t="s">
        <v>65</v>
      </c>
      <c r="L15" s="5" t="s">
        <v>64</v>
      </c>
      <c r="M15" s="26" t="s">
        <v>65</v>
      </c>
      <c r="N15" s="5" t="s">
        <v>64</v>
      </c>
      <c r="O15" s="26" t="s">
        <v>65</v>
      </c>
    </row>
    <row r="16" spans="1:15" x14ac:dyDescent="0.2">
      <c r="B16" s="5"/>
      <c r="C16" s="45">
        <v>0</v>
      </c>
      <c r="D16" s="5"/>
      <c r="E16" s="27">
        <v>0.01</v>
      </c>
      <c r="F16" s="5"/>
      <c r="G16" s="27">
        <v>0.03</v>
      </c>
      <c r="H16" s="5"/>
      <c r="I16" s="27">
        <v>0.05</v>
      </c>
      <c r="J16" s="5"/>
      <c r="K16" s="27">
        <v>0.1</v>
      </c>
      <c r="L16" s="5"/>
      <c r="M16" s="27">
        <v>0.15</v>
      </c>
      <c r="N16" s="5"/>
      <c r="O16" s="26" t="s">
        <v>62</v>
      </c>
    </row>
    <row r="17" spans="1:15" x14ac:dyDescent="0.2">
      <c r="A17" s="23">
        <v>30</v>
      </c>
      <c r="B17" s="5">
        <f t="shared" ref="B17:O17" si="0">LN(B6)</f>
        <v>8.170640224266668</v>
      </c>
      <c r="C17">
        <f t="shared" si="0"/>
        <v>-1.8373427808500205</v>
      </c>
      <c r="D17" s="5">
        <f t="shared" si="0"/>
        <v>7.3612064672590209</v>
      </c>
      <c r="E17">
        <f t="shared" si="0"/>
        <v>-2.2616351066650915</v>
      </c>
      <c r="F17" s="5">
        <f t="shared" si="0"/>
        <v>6.5948816344503758</v>
      </c>
      <c r="G17">
        <f t="shared" si="0"/>
        <v>-2.595748829015065</v>
      </c>
      <c r="H17" s="5">
        <f t="shared" si="0"/>
        <v>5.7367551900022056</v>
      </c>
      <c r="I17">
        <f t="shared" si="0"/>
        <v>-2.7622265949982667</v>
      </c>
      <c r="J17" s="5">
        <f>LN(J6)</f>
        <v>4.0074544693308729</v>
      </c>
      <c r="K17">
        <f t="shared" si="0"/>
        <v>-3.4003977014915909</v>
      </c>
      <c r="L17" s="5">
        <f t="shared" si="0"/>
        <v>2.9408766727966968</v>
      </c>
      <c r="M17">
        <f t="shared" si="0"/>
        <v>-3.7189263754662329</v>
      </c>
      <c r="N17" s="5">
        <f t="shared" si="0"/>
        <v>1.6063032746115848</v>
      </c>
      <c r="O17">
        <f t="shared" si="0"/>
        <v>-2.8476571554886276</v>
      </c>
    </row>
    <row r="18" spans="1:15" x14ac:dyDescent="0.2">
      <c r="A18" s="23">
        <v>40</v>
      </c>
      <c r="B18" s="5">
        <f t="shared" ref="B18:C20" si="1">LN(B7)</f>
        <v>8.7190887572219165</v>
      </c>
      <c r="C18">
        <f t="shared" si="1"/>
        <v>-1.4563735367072637</v>
      </c>
      <c r="D18" s="5">
        <f t="shared" ref="D18:O18" si="2">LN(D7)</f>
        <v>7.9359250276902698</v>
      </c>
      <c r="E18">
        <f t="shared" si="2"/>
        <v>-1.7867719277170158</v>
      </c>
      <c r="F18" s="5">
        <f t="shared" si="2"/>
        <v>7.2663835795326577</v>
      </c>
      <c r="G18">
        <f t="shared" si="2"/>
        <v>-2.1978647822236428</v>
      </c>
      <c r="H18" s="5">
        <f t="shared" si="2"/>
        <v>6.4696723609317601</v>
      </c>
      <c r="I18">
        <f t="shared" si="2"/>
        <v>-2.4401245070161073</v>
      </c>
      <c r="J18" s="5">
        <f>LN(J7)</f>
        <v>4.8403233168981119</v>
      </c>
      <c r="K18">
        <f t="shared" si="2"/>
        <v>-3.0386397745652673</v>
      </c>
      <c r="L18" s="5">
        <f t="shared" si="2"/>
        <v>3.8708813338863295</v>
      </c>
      <c r="M18">
        <f t="shared" si="2"/>
        <v>-3.5159350591325786</v>
      </c>
      <c r="N18" s="5">
        <f t="shared" si="2"/>
        <v>2.439159921777502</v>
      </c>
      <c r="O18">
        <f t="shared" si="2"/>
        <v>-2.571772582809662</v>
      </c>
    </row>
    <row r="19" spans="1:15" x14ac:dyDescent="0.2">
      <c r="A19" s="23">
        <v>50</v>
      </c>
      <c r="B19" s="5">
        <f t="shared" si="1"/>
        <v>9.1951385437180306</v>
      </c>
      <c r="C19">
        <f t="shared" si="1"/>
        <v>-1.0975128932248088</v>
      </c>
      <c r="D19" s="5">
        <f t="shared" ref="D19:O19" si="3">LN(D8)</f>
        <v>8.3898034309799776</v>
      </c>
      <c r="E19">
        <f t="shared" si="3"/>
        <v>-1.4178263087330532</v>
      </c>
      <c r="F19" s="5">
        <f t="shared" si="3"/>
        <v>7.8343303082208884</v>
      </c>
      <c r="G19">
        <f t="shared" si="3"/>
        <v>-1.8230643950564702</v>
      </c>
      <c r="H19" s="5">
        <f t="shared" si="3"/>
        <v>7.1289524976022234</v>
      </c>
      <c r="I19">
        <f t="shared" si="3"/>
        <v>-2.165086579808412</v>
      </c>
      <c r="J19" s="5">
        <f>LN(J8)</f>
        <v>5.5625301012515829</v>
      </c>
      <c r="K19">
        <f t="shared" si="3"/>
        <v>-2.7358325821146616</v>
      </c>
      <c r="L19" s="5">
        <f t="shared" si="3"/>
        <v>4.6520852902751004</v>
      </c>
      <c r="M19">
        <f t="shared" si="3"/>
        <v>-3.2123968587704916</v>
      </c>
      <c r="N19" s="5">
        <f t="shared" si="3"/>
        <v>3.2197877123748753</v>
      </c>
      <c r="O19">
        <f t="shared" si="3"/>
        <v>-2.3520905128978851</v>
      </c>
    </row>
    <row r="20" spans="1:15" x14ac:dyDescent="0.2">
      <c r="A20" s="23">
        <v>60</v>
      </c>
      <c r="B20" s="5">
        <f t="shared" si="1"/>
        <v>9.5899385207950765</v>
      </c>
      <c r="C20">
        <f t="shared" si="1"/>
        <v>-0.76498695778298997</v>
      </c>
      <c r="D20" s="5">
        <f t="shared" ref="D20:O20" si="4">LN(D9)</f>
        <v>8.7702176052389138</v>
      </c>
      <c r="E20">
        <f t="shared" si="4"/>
        <v>-1.048565771183974</v>
      </c>
      <c r="F20" s="5">
        <f t="shared" si="4"/>
        <v>8.3514060489637707</v>
      </c>
      <c r="G20">
        <f t="shared" si="4"/>
        <v>-1.4884156841866507</v>
      </c>
      <c r="H20" s="5">
        <f t="shared" si="4"/>
        <v>7.6592585210201758</v>
      </c>
      <c r="I20">
        <f t="shared" si="4"/>
        <v>-1.8490284774186276</v>
      </c>
      <c r="J20" s="5">
        <f>LN(J9)</f>
        <v>6.2134199444197789</v>
      </c>
      <c r="K20">
        <f t="shared" si="4"/>
        <v>-2.4329215947220493</v>
      </c>
      <c r="L20" s="5">
        <f t="shared" si="4"/>
        <v>5.3272646406575275</v>
      </c>
      <c r="M20">
        <f t="shared" si="4"/>
        <v>-2.9147054349116175</v>
      </c>
      <c r="N20" s="5">
        <f t="shared" si="4"/>
        <v>3.862668456522111</v>
      </c>
      <c r="O20">
        <f t="shared" si="4"/>
        <v>-2.0300420393850684</v>
      </c>
    </row>
    <row r="21" spans="1:15" x14ac:dyDescent="0.2">
      <c r="A21" s="23"/>
      <c r="B21" s="5"/>
      <c r="D21" s="5"/>
      <c r="F21" s="5"/>
      <c r="H21" s="5"/>
      <c r="J21" s="5"/>
      <c r="L21" s="5"/>
    </row>
    <row r="53" spans="14:14" x14ac:dyDescent="0.2">
      <c r="N53">
        <f>LN(10)</f>
        <v>2.3025850929940459</v>
      </c>
    </row>
  </sheetData>
  <sortState ref="V43:V46">
    <sortCondition ref="V43"/>
  </sortState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1"/>
  <sheetViews>
    <sheetView topLeftCell="I4" workbookViewId="0">
      <selection activeCell="Z31" sqref="Z31"/>
    </sheetView>
  </sheetViews>
  <sheetFormatPr defaultRowHeight="12.75" x14ac:dyDescent="0.2"/>
  <sheetData>
    <row r="2" spans="1:15" x14ac:dyDescent="0.2">
      <c r="E2" s="24"/>
      <c r="F2" s="24"/>
      <c r="N2" s="3" t="s">
        <v>49</v>
      </c>
    </row>
    <row r="3" spans="1:15" x14ac:dyDescent="0.2">
      <c r="C3" s="64"/>
      <c r="D3" s="25" t="s">
        <v>63</v>
      </c>
      <c r="E3" s="78" t="s">
        <v>46</v>
      </c>
      <c r="F3" s="25" t="s">
        <v>63</v>
      </c>
      <c r="G3" s="78" t="s">
        <v>135</v>
      </c>
      <c r="H3" s="25" t="s">
        <v>63</v>
      </c>
      <c r="I3" s="78" t="s">
        <v>46</v>
      </c>
      <c r="J3" s="25" t="s">
        <v>63</v>
      </c>
      <c r="K3" s="78" t="s">
        <v>135</v>
      </c>
      <c r="L3" s="25" t="s">
        <v>63</v>
      </c>
      <c r="M3" s="78" t="s">
        <v>135</v>
      </c>
      <c r="N3" s="25" t="s">
        <v>63</v>
      </c>
      <c r="O3" s="26" t="s">
        <v>61</v>
      </c>
    </row>
    <row r="4" spans="1:15" x14ac:dyDescent="0.2">
      <c r="C4" s="64">
        <v>0</v>
      </c>
      <c r="D4" s="25"/>
      <c r="E4" s="27">
        <v>0.01</v>
      </c>
      <c r="F4" s="25"/>
      <c r="G4" s="27">
        <v>0.03</v>
      </c>
      <c r="H4" s="25"/>
      <c r="I4" s="27">
        <v>0.05</v>
      </c>
      <c r="J4" s="25"/>
      <c r="K4" s="27">
        <v>0.1</v>
      </c>
      <c r="L4" s="25"/>
      <c r="M4" s="27">
        <v>0.15</v>
      </c>
      <c r="N4" s="25"/>
      <c r="O4" s="27" t="s">
        <v>5</v>
      </c>
    </row>
    <row r="5" spans="1:15" ht="15.75" x14ac:dyDescent="0.25">
      <c r="A5" s="23">
        <v>30</v>
      </c>
      <c r="B5">
        <v>3535.6068204613839</v>
      </c>
      <c r="C5">
        <v>0.15924000000000002</v>
      </c>
      <c r="D5" s="28">
        <v>1573.7340767214114</v>
      </c>
      <c r="E5">
        <f>98.18/1000</f>
        <v>9.8180000000000003E-2</v>
      </c>
      <c r="F5" s="28">
        <v>731.34231583168992</v>
      </c>
      <c r="G5">
        <f>59.98/1000</f>
        <v>5.9979999999999999E-2</v>
      </c>
      <c r="H5" s="28">
        <v>310.05670186714997</v>
      </c>
      <c r="I5">
        <f>44.69/1000</f>
        <v>4.4690000000000001E-2</v>
      </c>
      <c r="J5" s="28">
        <v>55.006671029948869</v>
      </c>
      <c r="K5">
        <f>24.29/1000</f>
        <v>2.4289999999999999E-2</v>
      </c>
      <c r="L5" s="41">
        <v>18.93243659120407</v>
      </c>
      <c r="M5">
        <f>13.32/1000</f>
        <v>1.332E-2</v>
      </c>
      <c r="N5">
        <v>4.9843513501258805</v>
      </c>
      <c r="O5" s="3">
        <f>22.56/1000</f>
        <v>2.256E-2</v>
      </c>
    </row>
    <row r="6" spans="1:15" ht="15.75" x14ac:dyDescent="0.25">
      <c r="A6" s="23">
        <v>40</v>
      </c>
      <c r="B6">
        <v>6118.601016021883</v>
      </c>
      <c r="C6">
        <v>0.23308000000000001</v>
      </c>
      <c r="D6" s="28">
        <v>2795.9438690084812</v>
      </c>
      <c r="E6">
        <f>153.17/1000</f>
        <v>0.15317</v>
      </c>
      <c r="F6" s="28">
        <v>1431.3646652223233</v>
      </c>
      <c r="G6">
        <f>93.94/1000</f>
        <v>9.3939999999999996E-2</v>
      </c>
      <c r="H6" s="28">
        <v>645.27227591989833</v>
      </c>
      <c r="I6">
        <f>68.57/1000</f>
        <v>6.8569999999999992E-2</v>
      </c>
      <c r="J6" s="28">
        <v>126.5102480194968</v>
      </c>
      <c r="K6">
        <f>36.02/1000</f>
        <v>3.6020000000000003E-2</v>
      </c>
      <c r="L6" s="41">
        <v>47.98465795534527</v>
      </c>
      <c r="M6">
        <f>20.07/1000</f>
        <v>2.0070000000000001E-2</v>
      </c>
      <c r="N6">
        <v>11.463406538430213</v>
      </c>
      <c r="O6" s="3">
        <f>42.57/1000</f>
        <v>4.2570000000000004E-2</v>
      </c>
    </row>
    <row r="7" spans="1:15" ht="15.75" x14ac:dyDescent="0.25">
      <c r="A7" s="23">
        <v>50</v>
      </c>
      <c r="B7">
        <v>9849.1313623895148</v>
      </c>
      <c r="C7">
        <v>0.3337</v>
      </c>
      <c r="D7" s="28">
        <v>4401.9523217277028</v>
      </c>
      <c r="E7">
        <f>228.29/1000</f>
        <v>0.22828999999999999</v>
      </c>
      <c r="F7" s="28">
        <v>2525.8434062682413</v>
      </c>
      <c r="G7">
        <f>139.03/1000</f>
        <v>0.13903000000000001</v>
      </c>
      <c r="H7" s="28">
        <v>1247.5694502288738</v>
      </c>
      <c r="I7">
        <f>99.67/1000</f>
        <v>9.9670000000000009E-2</v>
      </c>
      <c r="J7" s="28">
        <v>260.48104672467906</v>
      </c>
      <c r="K7">
        <f>52.82/1000</f>
        <v>5.2819999999999999E-2</v>
      </c>
      <c r="L7" s="41">
        <v>104.8033031791342</v>
      </c>
      <c r="M7">
        <f>28.96/1000</f>
        <v>2.896E-2</v>
      </c>
      <c r="N7">
        <v>25.022807585062353</v>
      </c>
      <c r="O7" s="3">
        <f>72.08/1000</f>
        <v>7.2080000000000005E-2</v>
      </c>
    </row>
    <row r="8" spans="1:15" ht="15.75" x14ac:dyDescent="0.25">
      <c r="A8" s="23">
        <v>60</v>
      </c>
      <c r="B8">
        <v>14616.970866970865</v>
      </c>
      <c r="C8">
        <v>0.46533999999999998</v>
      </c>
      <c r="D8" s="28">
        <v>6439.5735968619647</v>
      </c>
      <c r="E8">
        <f>321.12/1000</f>
        <v>0.32112000000000002</v>
      </c>
      <c r="F8" s="28">
        <v>4236.1327678197304</v>
      </c>
      <c r="G8">
        <f>193.59/1000</f>
        <v>0.19359000000000001</v>
      </c>
      <c r="H8" s="28">
        <v>2120.184773162413</v>
      </c>
      <c r="I8">
        <f>139.43/1000</f>
        <v>0.13943</v>
      </c>
      <c r="J8" s="28">
        <v>499.40627578654124</v>
      </c>
      <c r="K8">
        <f>72.39/1000</f>
        <v>7.2389999999999996E-2</v>
      </c>
      <c r="L8" s="41">
        <v>205.87406371551202</v>
      </c>
      <c r="M8">
        <f>41.51/1000</f>
        <v>4.1509999999999998E-2</v>
      </c>
      <c r="N8">
        <v>47.592179738024015</v>
      </c>
      <c r="O8" s="3">
        <f>115.35/1000</f>
        <v>0.11534999999999999</v>
      </c>
    </row>
    <row r="9" spans="1:15" x14ac:dyDescent="0.2">
      <c r="A9" s="23"/>
      <c r="O9" s="3"/>
    </row>
    <row r="14" spans="1:15" x14ac:dyDescent="0.2">
      <c r="N14" t="s">
        <v>66</v>
      </c>
    </row>
    <row r="15" spans="1:15" x14ac:dyDescent="0.2">
      <c r="B15" s="25" t="s">
        <v>64</v>
      </c>
      <c r="C15" s="26" t="s">
        <v>65</v>
      </c>
      <c r="D15" s="25" t="s">
        <v>64</v>
      </c>
      <c r="E15" s="26" t="s">
        <v>136</v>
      </c>
      <c r="F15" s="25" t="s">
        <v>64</v>
      </c>
      <c r="G15" s="26" t="s">
        <v>136</v>
      </c>
      <c r="H15" s="25" t="s">
        <v>64</v>
      </c>
      <c r="I15" s="26" t="s">
        <v>136</v>
      </c>
      <c r="J15" s="25" t="s">
        <v>64</v>
      </c>
      <c r="K15" s="26" t="s">
        <v>136</v>
      </c>
      <c r="L15" s="25" t="s">
        <v>64</v>
      </c>
      <c r="M15" s="78" t="s">
        <v>136</v>
      </c>
      <c r="N15" s="25" t="s">
        <v>64</v>
      </c>
      <c r="O15" s="26" t="s">
        <v>65</v>
      </c>
    </row>
    <row r="16" spans="1:15" x14ac:dyDescent="0.2">
      <c r="B16" s="25"/>
      <c r="C16" s="27">
        <v>0</v>
      </c>
      <c r="D16" s="25"/>
      <c r="E16" s="27">
        <v>0.01</v>
      </c>
      <c r="F16" s="25"/>
      <c r="G16" s="27">
        <v>0.03</v>
      </c>
      <c r="H16" s="25"/>
      <c r="I16" s="27">
        <v>0.05</v>
      </c>
      <c r="J16" s="25"/>
      <c r="K16" s="27">
        <v>0.1</v>
      </c>
      <c r="L16" s="25"/>
      <c r="M16" s="27">
        <v>0.15</v>
      </c>
      <c r="N16" s="25"/>
      <c r="O16" s="26" t="s">
        <v>62</v>
      </c>
    </row>
    <row r="17" spans="1:15" x14ac:dyDescent="0.2">
      <c r="A17" s="23">
        <v>30</v>
      </c>
      <c r="B17">
        <f>LN(B5)</f>
        <v>8.170640224266668</v>
      </c>
      <c r="C17">
        <f>LN(C5)</f>
        <v>-1.8373427808500205</v>
      </c>
      <c r="D17" s="25">
        <f t="shared" ref="D17:H20" si="0">LN(D5)</f>
        <v>7.3612064672590209</v>
      </c>
      <c r="E17">
        <f t="shared" si="0"/>
        <v>-2.3209527503522307</v>
      </c>
      <c r="F17" s="25">
        <f t="shared" si="0"/>
        <v>6.5948816344503758</v>
      </c>
      <c r="G17">
        <f t="shared" si="0"/>
        <v>-2.8137441056612742</v>
      </c>
      <c r="H17" s="25">
        <f>LN(H5)</f>
        <v>5.7367551900022056</v>
      </c>
      <c r="I17">
        <f t="shared" ref="I17:O20" si="1">LN(I5)</f>
        <v>-3.1080055160367768</v>
      </c>
      <c r="J17" s="25">
        <f t="shared" si="1"/>
        <v>4.0074544693308729</v>
      </c>
      <c r="K17">
        <f t="shared" si="1"/>
        <v>-3.7176905359680559</v>
      </c>
      <c r="L17" s="25">
        <f t="shared" si="1"/>
        <v>2.9408766727966968</v>
      </c>
      <c r="M17">
        <f t="shared" si="1"/>
        <v>-4.3184886138698939</v>
      </c>
      <c r="N17" s="25">
        <f t="shared" si="1"/>
        <v>1.6063032746115848</v>
      </c>
      <c r="O17">
        <f t="shared" si="1"/>
        <v>-3.791576852352279</v>
      </c>
    </row>
    <row r="18" spans="1:15" x14ac:dyDescent="0.2">
      <c r="A18" s="23">
        <v>40</v>
      </c>
      <c r="B18">
        <f t="shared" ref="B18:C20" si="2">LN(B6)</f>
        <v>8.7190887572219165</v>
      </c>
      <c r="C18">
        <f t="shared" si="2"/>
        <v>-1.4563735367072637</v>
      </c>
      <c r="D18" s="25">
        <f t="shared" si="0"/>
        <v>7.9359250276902698</v>
      </c>
      <c r="E18">
        <f t="shared" si="0"/>
        <v>-1.8762068633056743</v>
      </c>
      <c r="F18" s="25">
        <f t="shared" si="0"/>
        <v>7.2663835795326577</v>
      </c>
      <c r="G18">
        <f t="shared" si="0"/>
        <v>-2.3650989983832882</v>
      </c>
      <c r="H18" s="25">
        <f t="shared" si="0"/>
        <v>6.4696723609317601</v>
      </c>
      <c r="I18">
        <f t="shared" si="1"/>
        <v>-2.6799001576858643</v>
      </c>
      <c r="J18" s="25">
        <f t="shared" si="1"/>
        <v>4.8403233168981119</v>
      </c>
      <c r="K18">
        <f t="shared" si="1"/>
        <v>-3.3236809392343267</v>
      </c>
      <c r="L18" s="25">
        <f t="shared" si="1"/>
        <v>3.8708813338863295</v>
      </c>
      <c r="M18">
        <f t="shared" si="1"/>
        <v>-3.9085291161738902</v>
      </c>
      <c r="N18" s="25">
        <f t="shared" si="1"/>
        <v>2.439159921777502</v>
      </c>
      <c r="O18">
        <f t="shared" si="1"/>
        <v>-3.156605499142076</v>
      </c>
    </row>
    <row r="19" spans="1:15" x14ac:dyDescent="0.2">
      <c r="A19" s="23">
        <v>50</v>
      </c>
      <c r="B19">
        <f t="shared" si="2"/>
        <v>9.1951385437180306</v>
      </c>
      <c r="C19">
        <f t="shared" si="2"/>
        <v>-1.0975128932248088</v>
      </c>
      <c r="D19" s="25">
        <f t="shared" si="0"/>
        <v>8.3898034309799776</v>
      </c>
      <c r="E19">
        <f t="shared" si="0"/>
        <v>-1.4771385284206162</v>
      </c>
      <c r="F19" s="25">
        <f t="shared" si="0"/>
        <v>7.8343303082208884</v>
      </c>
      <c r="G19">
        <f t="shared" si="0"/>
        <v>-1.9730655418006851</v>
      </c>
      <c r="H19" s="25">
        <f t="shared" si="0"/>
        <v>7.1289524976022234</v>
      </c>
      <c r="I19">
        <f t="shared" si="1"/>
        <v>-2.305890550002772</v>
      </c>
      <c r="J19" s="25">
        <f t="shared" si="1"/>
        <v>5.5625301012515829</v>
      </c>
      <c r="K19">
        <f t="shared" si="1"/>
        <v>-2.940865372113151</v>
      </c>
      <c r="L19" s="25">
        <f t="shared" si="1"/>
        <v>4.6520852902751004</v>
      </c>
      <c r="M19">
        <f t="shared" si="1"/>
        <v>-3.5418397114646214</v>
      </c>
      <c r="N19" s="25">
        <f t="shared" si="1"/>
        <v>3.2197877123748753</v>
      </c>
      <c r="O19">
        <f t="shared" si="1"/>
        <v>-2.6299786656820543</v>
      </c>
    </row>
    <row r="20" spans="1:15" x14ac:dyDescent="0.2">
      <c r="A20" s="23">
        <v>60</v>
      </c>
      <c r="B20">
        <f t="shared" si="2"/>
        <v>9.5899385207950765</v>
      </c>
      <c r="C20">
        <f t="shared" si="2"/>
        <v>-0.76498695778298997</v>
      </c>
      <c r="D20" s="25">
        <f t="shared" si="0"/>
        <v>8.7702176052389138</v>
      </c>
      <c r="E20">
        <f t="shared" si="0"/>
        <v>-1.1359403939341091</v>
      </c>
      <c r="F20" s="25">
        <f t="shared" si="0"/>
        <v>8.3514060489637707</v>
      </c>
      <c r="G20">
        <f t="shared" si="0"/>
        <v>-1.6420127583662789</v>
      </c>
      <c r="H20" s="25">
        <f t="shared" si="0"/>
        <v>7.6592585210201758</v>
      </c>
      <c r="I20">
        <f t="shared" si="1"/>
        <v>-1.9701925957752073</v>
      </c>
      <c r="J20" s="25">
        <f t="shared" si="1"/>
        <v>6.2134199444197789</v>
      </c>
      <c r="K20">
        <f t="shared" si="1"/>
        <v>-2.6256871106770872</v>
      </c>
      <c r="L20" s="25">
        <f t="shared" si="1"/>
        <v>5.3272646406575275</v>
      </c>
      <c r="M20">
        <f t="shared" si="1"/>
        <v>-3.1818209169171898</v>
      </c>
      <c r="N20" s="25">
        <f t="shared" si="1"/>
        <v>3.862668456522111</v>
      </c>
      <c r="O20">
        <f t="shared" si="1"/>
        <v>-2.1597842943623746</v>
      </c>
    </row>
    <row r="21" spans="1:15" x14ac:dyDescent="0.2">
      <c r="A21" s="23"/>
      <c r="D21" s="25"/>
      <c r="F21" s="25"/>
      <c r="H21" s="25"/>
      <c r="J21" s="25"/>
      <c r="L21" s="25"/>
      <c r="N21" s="25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1"/>
  <sheetViews>
    <sheetView topLeftCell="J19" workbookViewId="0">
      <selection activeCell="E27" sqref="E27"/>
    </sheetView>
  </sheetViews>
  <sheetFormatPr defaultRowHeight="12.75" x14ac:dyDescent="0.2"/>
  <cols>
    <col min="1" max="2" width="9.140625" style="64"/>
    <col min="3" max="3" width="14.5703125" style="64" customWidth="1"/>
    <col min="4" max="4" width="9.140625" style="64"/>
    <col min="5" max="5" width="15.42578125" style="64" customWidth="1"/>
    <col min="6" max="6" width="9.140625" style="64"/>
    <col min="7" max="7" width="16.85546875" style="64" customWidth="1"/>
    <col min="8" max="8" width="9.140625" style="64"/>
    <col min="9" max="9" width="14.28515625" style="64" customWidth="1"/>
    <col min="10" max="13" width="9.140625" style="64"/>
    <col min="14" max="14" width="8.42578125" style="64" bestFit="1" customWidth="1"/>
    <col min="15" max="15" width="16.28515625" style="64" bestFit="1" customWidth="1"/>
    <col min="16" max="16" width="19" style="64" bestFit="1" customWidth="1"/>
    <col min="17" max="24" width="9.140625" style="64"/>
    <col min="25" max="25" width="20.28515625" style="64" bestFit="1" customWidth="1"/>
    <col min="26" max="31" width="9.140625" style="64"/>
    <col min="32" max="32" width="23.42578125" style="64" bestFit="1" customWidth="1"/>
    <col min="33" max="16384" width="9.140625" style="64"/>
  </cols>
  <sheetData>
    <row r="1" spans="1:36" x14ac:dyDescent="0.2"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36" x14ac:dyDescent="0.2">
      <c r="B2" s="62" t="s">
        <v>110</v>
      </c>
      <c r="C2" s="62"/>
      <c r="D2" s="62" t="s">
        <v>111</v>
      </c>
      <c r="E2" s="62"/>
      <c r="F2" s="62" t="s">
        <v>112</v>
      </c>
      <c r="G2" s="62"/>
      <c r="H2" s="62" t="s">
        <v>113</v>
      </c>
      <c r="I2" s="62"/>
      <c r="J2" s="62" t="s">
        <v>114</v>
      </c>
      <c r="K2" s="62"/>
      <c r="L2" s="62"/>
      <c r="Z2" s="64" t="s">
        <v>115</v>
      </c>
      <c r="AG2" s="64" t="s">
        <v>116</v>
      </c>
      <c r="AH2" s="64" t="s">
        <v>117</v>
      </c>
      <c r="AI2" s="64" t="s">
        <v>118</v>
      </c>
    </row>
    <row r="3" spans="1:36" x14ac:dyDescent="0.2">
      <c r="B3" s="62" t="s">
        <v>119</v>
      </c>
      <c r="C3" s="62" t="s">
        <v>120</v>
      </c>
      <c r="D3" s="62" t="s">
        <v>119</v>
      </c>
      <c r="E3" s="62" t="s">
        <v>120</v>
      </c>
      <c r="F3" s="62" t="s">
        <v>119</v>
      </c>
      <c r="G3" s="62" t="s">
        <v>120</v>
      </c>
      <c r="H3" s="62" t="s">
        <v>119</v>
      </c>
      <c r="I3" s="62" t="s">
        <v>120</v>
      </c>
      <c r="J3" s="62" t="s">
        <v>119</v>
      </c>
      <c r="K3" s="62" t="s">
        <v>120</v>
      </c>
      <c r="L3" s="62"/>
      <c r="M3" s="10"/>
      <c r="N3" s="10"/>
      <c r="O3" s="68" t="s">
        <v>89</v>
      </c>
      <c r="P3" s="68" t="s">
        <v>90</v>
      </c>
      <c r="Z3" s="64">
        <v>20</v>
      </c>
      <c r="AA3" s="64">
        <v>30</v>
      </c>
      <c r="AB3" s="64">
        <v>40</v>
      </c>
      <c r="AC3" s="64">
        <v>50</v>
      </c>
      <c r="AD3" s="64">
        <v>60</v>
      </c>
      <c r="AG3" s="64">
        <v>4.1079571327798732</v>
      </c>
      <c r="AH3" s="64">
        <v>0.73706366185829009</v>
      </c>
      <c r="AI3" s="64">
        <f>SUM(AI7:AI10)*1000000</f>
        <v>7295.6486805907634</v>
      </c>
    </row>
    <row r="4" spans="1:36" x14ac:dyDescent="0.2">
      <c r="A4" s="64">
        <v>0</v>
      </c>
      <c r="B4" s="64">
        <f>'[1]20c'!K4</f>
        <v>0</v>
      </c>
      <c r="C4" s="11">
        <f>'[1]20c'!F4</f>
        <v>1</v>
      </c>
      <c r="D4" s="64">
        <f>'[1]30c'!K5</f>
        <v>0</v>
      </c>
      <c r="E4" s="64">
        <f>'[1]30c'!F5</f>
        <v>1</v>
      </c>
      <c r="F4" s="64">
        <f>'[1]40c'!K5</f>
        <v>0</v>
      </c>
      <c r="G4" s="64">
        <f>'[1]40c'!F5</f>
        <v>1</v>
      </c>
      <c r="H4" s="64">
        <f>'[1]50c'!K5</f>
        <v>0</v>
      </c>
      <c r="I4" s="64">
        <f>'[1]50c'!F5</f>
        <v>1</v>
      </c>
      <c r="J4" s="64">
        <f>'[1]60c'!K5</f>
        <v>0</v>
      </c>
      <c r="K4" s="64">
        <f>'[1]60c'!F5</f>
        <v>1</v>
      </c>
      <c r="M4" s="57" t="s">
        <v>121</v>
      </c>
      <c r="N4" s="67" t="s">
        <v>87</v>
      </c>
      <c r="O4" s="64">
        <f t="array" ref="O4:P5">LINEST(C4:C9,A4:A9,1,1)</f>
        <v>19.348159056993698</v>
      </c>
      <c r="P4" s="64">
        <v>-39.446103541336853</v>
      </c>
      <c r="Y4" s="64" t="s">
        <v>122</v>
      </c>
      <c r="Z4" s="64">
        <f>1/(273.15+Z3)*1000</f>
        <v>3.411222923418046</v>
      </c>
      <c r="AA4" s="64">
        <f>1/(273.15+AA3)*1000</f>
        <v>3.2986970146792021</v>
      </c>
      <c r="AB4" s="64">
        <f>1/(273.15+AB3)*1000</f>
        <v>3.1933578157432541</v>
      </c>
      <c r="AC4" s="64">
        <f>1/(273.15+AC3)*1000</f>
        <v>3.0945381401825776</v>
      </c>
      <c r="AD4" s="64">
        <f>1/(273.15+AD3)*1000</f>
        <v>3.0016509079993998</v>
      </c>
      <c r="AE4" s="64" t="s">
        <v>68</v>
      </c>
      <c r="AF4" s="64" t="s">
        <v>123</v>
      </c>
    </row>
    <row r="5" spans="1:36" x14ac:dyDescent="0.2">
      <c r="A5" s="64">
        <v>1</v>
      </c>
      <c r="B5" s="64">
        <f>'[1]20c'!K5</f>
        <v>0.46343000000000001</v>
      </c>
      <c r="C5" s="11">
        <f>'[1]20c'!F5</f>
        <v>2.1760926330628849</v>
      </c>
      <c r="D5" s="64">
        <f>'[1]30c'!K6</f>
        <v>0.40656000000000009</v>
      </c>
      <c r="E5" s="64">
        <f>'[1]30c'!F6</f>
        <v>2.2466354848381864</v>
      </c>
      <c r="F5" s="64">
        <f>'[1]40c'!K6</f>
        <v>0.36663000000000007</v>
      </c>
      <c r="G5" s="64">
        <f>'[1]40c'!F6</f>
        <v>2.1883847826285967</v>
      </c>
      <c r="H5" s="64">
        <f>'[1]50c'!K6</f>
        <v>0.31581000000000004</v>
      </c>
      <c r="I5" s="64">
        <f>'[1]50c'!F6</f>
        <v>2.2374461699130519</v>
      </c>
      <c r="J5" s="64">
        <f>'[1]60c'!K6</f>
        <v>0.27830000000000005</v>
      </c>
      <c r="K5" s="64">
        <f>'[1]60c'!F6</f>
        <v>2.2698662647622796</v>
      </c>
      <c r="M5" s="67"/>
      <c r="N5" s="67" t="s">
        <v>88</v>
      </c>
      <c r="O5" s="64">
        <v>4.2189476482392303</v>
      </c>
      <c r="P5" s="64">
        <v>32.67982796030298</v>
      </c>
      <c r="Y5" s="64">
        <v>0</v>
      </c>
      <c r="Z5" s="64">
        <f>'[1]20c'!D4</f>
        <v>-1.8062438634290285</v>
      </c>
      <c r="AA5" s="64">
        <f>'[1]30c'!D5</f>
        <v>-2.4564124917489281</v>
      </c>
      <c r="AB5" s="64">
        <f>'[1]40c'!D5</f>
        <v>-2.9724064482504944</v>
      </c>
      <c r="AC5" s="64">
        <f>'[1]50c'!D5</f>
        <v>-3.4170219320091269</v>
      </c>
      <c r="AD5" s="64">
        <f>'[1]60c'!D5</f>
        <v>-3.7813456817865299</v>
      </c>
      <c r="AE5" s="64">
        <v>4812</v>
      </c>
      <c r="AF5" s="64">
        <f>AE5*8.314/1000</f>
        <v>40.006968000000001</v>
      </c>
      <c r="AJ5" s="64">
        <f>$AF$5+$AG$3*Y5^$AH$3</f>
        <v>40.006968000000001</v>
      </c>
    </row>
    <row r="6" spans="1:36" x14ac:dyDescent="0.2">
      <c r="A6" s="64">
        <v>3</v>
      </c>
      <c r="B6" s="64">
        <f>'[1]20c'!K6</f>
        <v>1.39029</v>
      </c>
      <c r="C6" s="11">
        <f>'[1]20c'!F6</f>
        <v>5.3341964134827426</v>
      </c>
      <c r="D6" s="64">
        <f>'[1]30c'!K7</f>
        <v>1.2196800000000003</v>
      </c>
      <c r="E6" s="64">
        <f>'[1]30c'!F7</f>
        <v>4.8344075598041334</v>
      </c>
      <c r="F6" s="64">
        <f>'[1]40c'!K7</f>
        <v>1.0998900000000003</v>
      </c>
      <c r="G6" s="64">
        <f>'[1]40c'!F7</f>
        <v>4.2746626102241567</v>
      </c>
      <c r="H6" s="64">
        <f>'[1]50c'!K7</f>
        <v>0.94743000000000022</v>
      </c>
      <c r="I6" s="64">
        <f>'[1]50c'!F7</f>
        <v>3.899343616452029</v>
      </c>
      <c r="J6" s="64">
        <f>'[1]60c'!K7</f>
        <v>0.83490000000000009</v>
      </c>
      <c r="K6" s="64">
        <f>'[1]60c'!F7</f>
        <v>3.4505459739152577</v>
      </c>
      <c r="M6" s="67"/>
      <c r="N6" s="67"/>
      <c r="O6" s="64">
        <f>O5/O4</f>
        <v>0.21805421569109051</v>
      </c>
      <c r="Y6" s="64">
        <v>1</v>
      </c>
      <c r="Z6" s="64">
        <f>'[1]20c'!D5</f>
        <v>-1.0287129650000244</v>
      </c>
      <c r="AA6" s="64">
        <f>'[1]30c'!D6</f>
        <v>-1.646978734741281</v>
      </c>
      <c r="AB6" s="64">
        <f>'[1]40c'!D6</f>
        <v>-2.1892427187188477</v>
      </c>
      <c r="AC6" s="64">
        <f>'[1]50c'!D6</f>
        <v>-2.6116868192710734</v>
      </c>
      <c r="AD6" s="64">
        <f>'[1]60c'!D6</f>
        <v>-2.9616247662303672</v>
      </c>
      <c r="AE6" s="64">
        <v>4734</v>
      </c>
      <c r="AF6" s="64">
        <f>AE6*8.314/1000</f>
        <v>39.358476000000003</v>
      </c>
      <c r="AJ6" s="64">
        <f t="shared" ref="AJ6:AJ10" si="0">$AF$5+$AG$3*Y6^$AH$3</f>
        <v>44.114925132779874</v>
      </c>
    </row>
    <row r="7" spans="1:36" x14ac:dyDescent="0.2">
      <c r="A7" s="64">
        <v>5</v>
      </c>
      <c r="B7" s="64">
        <f>'[1]20c'!K7</f>
        <v>2.3171500000000003</v>
      </c>
      <c r="C7" s="11">
        <f>'[1]20c'!F7</f>
        <v>13.912308050625274</v>
      </c>
      <c r="D7" s="64">
        <f>'[1]30c'!K8</f>
        <v>2.0328000000000004</v>
      </c>
      <c r="E7" s="64">
        <f>'[1]30c'!F8</f>
        <v>11.403097559801452</v>
      </c>
      <c r="F7" s="64">
        <f>'[1]40c'!K8</f>
        <v>1.8331500000000005</v>
      </c>
      <c r="G7" s="64">
        <f>'[1]40c'!F8</f>
        <v>9.4822003739417173</v>
      </c>
      <c r="H7" s="64">
        <f>'[1]50c'!K8</f>
        <v>1.5790500000000005</v>
      </c>
      <c r="I7" s="64">
        <f>'[1]50c'!F8</f>
        <v>7.894655772937238</v>
      </c>
      <c r="J7" s="64">
        <f>'[1]60c'!K8</f>
        <v>1.3915000000000002</v>
      </c>
      <c r="K7" s="64">
        <f>'[1]60c'!F8</f>
        <v>6.8941967002095623</v>
      </c>
      <c r="Y7" s="64">
        <v>3</v>
      </c>
      <c r="Z7" s="64">
        <f>'[1]20c'!D6</f>
        <v>-0.1321056154220048</v>
      </c>
      <c r="AA7" s="64">
        <f>'[1]30c'!D7</f>
        <v>-0.88065390193263604</v>
      </c>
      <c r="AB7" s="64">
        <f>'[1]40c'!D7</f>
        <v>-1.5197012705612354</v>
      </c>
      <c r="AC7" s="64">
        <f>'[1]50c'!D7</f>
        <v>-2.0562136965119837</v>
      </c>
      <c r="AD7" s="64">
        <f>'[1]60c'!D7</f>
        <v>-2.542813209955225</v>
      </c>
      <c r="AE7" s="64">
        <v>5872</v>
      </c>
      <c r="AF7" s="64">
        <f>AE7*8.314/1000</f>
        <v>48.819807999999995</v>
      </c>
      <c r="AG7" s="64">
        <f t="shared" ref="AG7:AG10" si="1">LN(AF7-$AF$5)</f>
        <v>2.1762097489544208</v>
      </c>
      <c r="AH7" s="64">
        <f>LN($AG$3)+$AH$3*LN(Y7)</f>
        <v>2.2226730534016466</v>
      </c>
      <c r="AI7" s="64">
        <f>(AH7-AG7)^2</f>
        <v>2.1588386601555922E-3</v>
      </c>
      <c r="AJ7" s="64">
        <f t="shared" si="0"/>
        <v>49.238943476479228</v>
      </c>
    </row>
    <row r="8" spans="1:36" x14ac:dyDescent="0.2">
      <c r="A8" s="64">
        <v>10</v>
      </c>
      <c r="B8" s="64">
        <f>'[1]20c'!K8</f>
        <v>4.6343000000000005</v>
      </c>
      <c r="C8" s="11">
        <f>'[1]20c'!F8</f>
        <v>88.928665180652956</v>
      </c>
      <c r="D8" s="64">
        <f>'[1]30c'!K9</f>
        <v>4.0656000000000008</v>
      </c>
      <c r="E8" s="64">
        <f>'[1]30c'!F9</f>
        <v>64.244160207182574</v>
      </c>
      <c r="F8" s="64">
        <f>'[1]40c'!K9</f>
        <v>3.666300000000001</v>
      </c>
      <c r="G8" s="64">
        <f>'[1]40c'!F9</f>
        <v>48.341302617025882</v>
      </c>
      <c r="H8" s="64">
        <f>'[1]50c'!K9</f>
        <v>3.158100000000001</v>
      </c>
      <c r="I8" s="64">
        <f>'[1]50c'!F9</f>
        <v>37.793765455410053</v>
      </c>
      <c r="J8" s="64">
        <f>'[1]60c'!K9</f>
        <v>2.7830000000000004</v>
      </c>
      <c r="K8" s="64">
        <f>'[1]60c'!F9</f>
        <v>29.255518640367381</v>
      </c>
      <c r="M8" s="10"/>
      <c r="N8" s="10"/>
      <c r="O8" s="68" t="s">
        <v>89</v>
      </c>
      <c r="P8" s="68" t="s">
        <v>90</v>
      </c>
      <c r="Y8" s="64">
        <v>5</v>
      </c>
      <c r="Z8" s="64">
        <f>'[1]20c'!D7</f>
        <v>0.82653005617720665</v>
      </c>
      <c r="AA8" s="64">
        <f>'[1]30c'!D8</f>
        <v>-2.2527457484465965E-2</v>
      </c>
      <c r="AB8" s="64">
        <f>'[1]40c'!D8</f>
        <v>-0.7229900519603385</v>
      </c>
      <c r="AC8" s="64">
        <f>'[1]50c'!D8</f>
        <v>-1.3508358858933189</v>
      </c>
      <c r="AD8" s="64">
        <f>'[1]60c'!D8</f>
        <v>-1.8506656820116296</v>
      </c>
      <c r="AE8" s="64">
        <v>6545</v>
      </c>
      <c r="AF8" s="64">
        <f t="shared" ref="AF8:AF10" si="2">AE8*8.314/1000</f>
        <v>54.415129999999998</v>
      </c>
      <c r="AG8" s="64">
        <f t="shared" si="1"/>
        <v>2.6677948515639147</v>
      </c>
      <c r="AH8" s="64">
        <f t="shared" ref="AH8:AH10" si="3">LN($AG$3)+$AH$3*LN(Y8)</f>
        <v>2.5991840582256529</v>
      </c>
      <c r="AI8" s="64">
        <f t="shared" ref="AI8:AI10" si="4">(AH8-AG8)^2</f>
        <v>4.7074409625056709E-3</v>
      </c>
      <c r="AJ8" s="64">
        <f t="shared" si="0"/>
        <v>53.459724889297057</v>
      </c>
    </row>
    <row r="9" spans="1:36" x14ac:dyDescent="0.2">
      <c r="A9" s="64">
        <v>15</v>
      </c>
      <c r="B9" s="64">
        <f>'[1]20c'!K9</f>
        <v>6.9514500000000004</v>
      </c>
      <c r="C9" s="11">
        <f>'[1]20c'!F9</f>
        <v>309.8095244119408</v>
      </c>
      <c r="D9" s="64">
        <f>'[1]30c'!K10</f>
        <v>6.0984000000000007</v>
      </c>
      <c r="E9" s="64">
        <f>'[1]30c'!F10</f>
        <v>186.74864185754157</v>
      </c>
      <c r="F9" s="64">
        <f>'[1]40c'!K10</f>
        <v>5.4994500000000004</v>
      </c>
      <c r="G9" s="64">
        <f>'[1]40c'!F10</f>
        <v>127.5116105175925</v>
      </c>
      <c r="H9" s="64">
        <f>'[1]50c'!K10</f>
        <v>4.7371500000000006</v>
      </c>
      <c r="I9" s="64">
        <f>'[1]50c'!F10</f>
        <v>93.97729903183459</v>
      </c>
      <c r="J9" s="64">
        <f>'[1]60c'!K10</f>
        <v>4.1745000000000001</v>
      </c>
      <c r="K9" s="64">
        <f>'[1]60c'!F10</f>
        <v>70.999574221109228</v>
      </c>
      <c r="M9" s="57" t="s">
        <v>124</v>
      </c>
      <c r="N9" s="67" t="s">
        <v>87</v>
      </c>
      <c r="O9" s="64">
        <f t="array" ref="O9:P10">LINEST(E4:E9,A4:A9,1,1)</f>
        <v>11.860959566372044</v>
      </c>
      <c r="P9" s="64">
        <v>-22.132613764580277</v>
      </c>
      <c r="Y9" s="64">
        <v>10</v>
      </c>
      <c r="Z9" s="64">
        <f>'[1]20c'!D8</f>
        <v>2.6815906700942391</v>
      </c>
      <c r="AA9" s="64">
        <f>'[1]30c'!D9</f>
        <v>1.7062783361784961</v>
      </c>
      <c r="AB9" s="64">
        <f>'[1]40c'!D9</f>
        <v>0.9058798736420417</v>
      </c>
      <c r="AC9" s="64">
        <f>'[1]50c'!D9</f>
        <v>0.21512222197107334</v>
      </c>
      <c r="AD9" s="64">
        <f>'[1]60c'!D9</f>
        <v>-0.40527745443933544</v>
      </c>
      <c r="AE9" s="64">
        <v>7505</v>
      </c>
      <c r="AF9" s="64">
        <f t="shared" si="2"/>
        <v>62.396569999999997</v>
      </c>
      <c r="AG9" s="64">
        <f t="shared" si="1"/>
        <v>3.1085966546599075</v>
      </c>
      <c r="AH9" s="64">
        <f t="shared" si="3"/>
        <v>3.1100776573359155</v>
      </c>
      <c r="AI9" s="64">
        <f t="shared" si="4"/>
        <v>2.193368926342636E-6</v>
      </c>
      <c r="AJ9" s="64">
        <f t="shared" si="0"/>
        <v>62.429753626931571</v>
      </c>
    </row>
    <row r="10" spans="1:36" x14ac:dyDescent="0.2">
      <c r="M10" s="67"/>
      <c r="N10" s="67" t="s">
        <v>88</v>
      </c>
      <c r="O10" s="64">
        <v>2.2630780472940732</v>
      </c>
      <c r="P10" s="64">
        <v>17.529727176675095</v>
      </c>
      <c r="Y10" s="64">
        <v>15</v>
      </c>
      <c r="Z10" s="64">
        <f>'[1]20c'!D9</f>
        <v>3.9297138078253204</v>
      </c>
      <c r="AA10" s="64">
        <f>'[1]30c'!D10</f>
        <v>2.7733510597210427</v>
      </c>
      <c r="AB10" s="64">
        <f>'[1]40c'!D10</f>
        <v>1.8758009750850924</v>
      </c>
      <c r="AC10" s="64">
        <f>'[1]50c'!D10</f>
        <v>1.1260313214338038</v>
      </c>
      <c r="AD10" s="64">
        <f>'[1]60c'!D10</f>
        <v>0.48132819835101853</v>
      </c>
      <c r="AE10" s="64">
        <v>8374</v>
      </c>
      <c r="AF10" s="64">
        <f t="shared" si="2"/>
        <v>69.621436000000003</v>
      </c>
      <c r="AG10" s="64">
        <f t="shared" si="1"/>
        <v>3.3882630256979156</v>
      </c>
      <c r="AH10" s="64">
        <f t="shared" si="3"/>
        <v>3.4089312546738864</v>
      </c>
      <c r="AI10" s="64">
        <f t="shared" si="4"/>
        <v>4.2717568900315728E-4</v>
      </c>
      <c r="AJ10" s="64">
        <f t="shared" si="0"/>
        <v>70.239883699629928</v>
      </c>
    </row>
    <row r="11" spans="1:36" x14ac:dyDescent="0.2">
      <c r="B11" s="68"/>
      <c r="C11" s="68"/>
      <c r="D11" s="68" t="s">
        <v>111</v>
      </c>
      <c r="E11" s="68"/>
      <c r="F11" s="68" t="s">
        <v>112</v>
      </c>
      <c r="G11" s="68"/>
      <c r="H11" s="68" t="s">
        <v>113</v>
      </c>
      <c r="I11" s="68"/>
      <c r="J11" s="68" t="s">
        <v>114</v>
      </c>
      <c r="K11" s="68"/>
      <c r="L11" s="68"/>
      <c r="M11" s="67"/>
      <c r="N11" s="67"/>
      <c r="O11" s="64">
        <f>O10/O9</f>
        <v>0.19080058697024033</v>
      </c>
    </row>
    <row r="12" spans="1:36" x14ac:dyDescent="0.2">
      <c r="B12" s="68" t="s">
        <v>119</v>
      </c>
      <c r="C12" s="68" t="s">
        <v>125</v>
      </c>
      <c r="D12" s="68" t="s">
        <v>119</v>
      </c>
      <c r="E12" s="68" t="s">
        <v>125</v>
      </c>
      <c r="F12" s="68" t="s">
        <v>119</v>
      </c>
      <c r="G12" s="68" t="s">
        <v>125</v>
      </c>
      <c r="H12" s="68" t="s">
        <v>119</v>
      </c>
      <c r="I12" s="68" t="s">
        <v>125</v>
      </c>
      <c r="J12" s="68" t="s">
        <v>119</v>
      </c>
      <c r="K12" s="68" t="s">
        <v>125</v>
      </c>
      <c r="L12" s="68"/>
    </row>
    <row r="13" spans="1:36" x14ac:dyDescent="0.2">
      <c r="B13" s="68">
        <v>0</v>
      </c>
      <c r="C13" s="75">
        <f t="shared" ref="C13:C18" si="5">C4-1</f>
        <v>0</v>
      </c>
      <c r="D13" s="68">
        <v>0</v>
      </c>
      <c r="E13" s="68">
        <f t="shared" ref="E13:E18" si="6">E4-1</f>
        <v>0</v>
      </c>
      <c r="F13" s="68">
        <v>0</v>
      </c>
      <c r="G13" s="68">
        <f t="shared" ref="G13:G18" si="7">G4-1</f>
        <v>0</v>
      </c>
      <c r="H13" s="68">
        <v>0</v>
      </c>
      <c r="I13" s="68">
        <f t="shared" ref="I13:I18" si="8">I4-1</f>
        <v>0</v>
      </c>
      <c r="J13" s="68">
        <v>0</v>
      </c>
      <c r="K13" s="68">
        <f t="shared" ref="K13:K18" si="9">K4-1</f>
        <v>0</v>
      </c>
      <c r="L13" s="68"/>
      <c r="M13" s="10"/>
      <c r="N13" s="10"/>
      <c r="O13" s="68" t="s">
        <v>89</v>
      </c>
      <c r="P13" s="68" t="s">
        <v>90</v>
      </c>
    </row>
    <row r="14" spans="1:36" x14ac:dyDescent="0.2">
      <c r="B14" s="64">
        <v>0.46420000000000006</v>
      </c>
      <c r="C14" s="11">
        <f t="shared" si="5"/>
        <v>1.1760926330628849</v>
      </c>
      <c r="D14" s="64">
        <v>0.40656000000000009</v>
      </c>
      <c r="E14" s="64">
        <f t="shared" si="6"/>
        <v>1.2466354848381864</v>
      </c>
      <c r="F14" s="64">
        <v>0.36663000000000007</v>
      </c>
      <c r="G14" s="64">
        <f t="shared" si="7"/>
        <v>1.1883847826285967</v>
      </c>
      <c r="H14" s="64">
        <v>0.31581000000000004</v>
      </c>
      <c r="I14" s="64">
        <f t="shared" si="8"/>
        <v>1.2374461699130519</v>
      </c>
      <c r="J14" s="64">
        <v>0.27830000000000005</v>
      </c>
      <c r="K14" s="64">
        <f t="shared" si="9"/>
        <v>1.2698662647622796</v>
      </c>
      <c r="M14" s="57" t="s">
        <v>126</v>
      </c>
      <c r="N14" s="67" t="s">
        <v>87</v>
      </c>
      <c r="O14" s="64">
        <f t="array" ref="O14:P15">LINEST(G4:G9,A4:A9,1,1)</f>
        <v>8.1632727887000982</v>
      </c>
      <c r="P14" s="64">
        <v>-14.125518985731745</v>
      </c>
    </row>
    <row r="15" spans="1:36" x14ac:dyDescent="0.2">
      <c r="B15" s="64">
        <v>1.3926000000000001</v>
      </c>
      <c r="C15" s="11">
        <f t="shared" si="5"/>
        <v>4.3341964134827426</v>
      </c>
      <c r="D15" s="64">
        <v>1.2196800000000003</v>
      </c>
      <c r="E15" s="64">
        <f t="shared" si="6"/>
        <v>3.8344075598041334</v>
      </c>
      <c r="F15" s="64">
        <v>1.0998900000000003</v>
      </c>
      <c r="G15" s="64">
        <f t="shared" si="7"/>
        <v>3.2746626102241567</v>
      </c>
      <c r="H15" s="64">
        <v>0.94743000000000022</v>
      </c>
      <c r="I15" s="64">
        <f t="shared" si="8"/>
        <v>2.899343616452029</v>
      </c>
      <c r="J15" s="64">
        <v>0.83490000000000009</v>
      </c>
      <c r="K15" s="64">
        <f t="shared" si="9"/>
        <v>2.4505459739152577</v>
      </c>
      <c r="M15" s="67"/>
      <c r="N15" s="67" t="s">
        <v>88</v>
      </c>
      <c r="O15" s="64">
        <v>1.4275051306707749</v>
      </c>
      <c r="P15" s="64">
        <v>11.057407195427109</v>
      </c>
    </row>
    <row r="16" spans="1:36" x14ac:dyDescent="0.2">
      <c r="B16" s="64">
        <v>2.3210000000000006</v>
      </c>
      <c r="C16" s="11">
        <f t="shared" si="5"/>
        <v>12.912308050625274</v>
      </c>
      <c r="D16" s="64">
        <v>2.0328000000000004</v>
      </c>
      <c r="E16" s="64">
        <f t="shared" si="6"/>
        <v>10.403097559801452</v>
      </c>
      <c r="F16" s="64">
        <v>1.8331500000000005</v>
      </c>
      <c r="G16" s="64">
        <f t="shared" si="7"/>
        <v>8.4822003739417173</v>
      </c>
      <c r="H16" s="64">
        <v>1.5790500000000005</v>
      </c>
      <c r="I16" s="64">
        <f t="shared" si="8"/>
        <v>6.894655772937238</v>
      </c>
      <c r="J16" s="64">
        <v>1.3915000000000002</v>
      </c>
      <c r="K16" s="64">
        <f t="shared" si="9"/>
        <v>5.8941967002095623</v>
      </c>
      <c r="M16" s="67"/>
      <c r="N16" s="67"/>
      <c r="O16" s="64">
        <f>O15/O14</f>
        <v>0.17486921821928822</v>
      </c>
    </row>
    <row r="17" spans="2:21" x14ac:dyDescent="0.2">
      <c r="B17" s="64">
        <v>4.6420000000000012</v>
      </c>
      <c r="C17" s="11">
        <f t="shared" si="5"/>
        <v>87.928665180652956</v>
      </c>
      <c r="D17" s="64">
        <v>4.0656000000000008</v>
      </c>
      <c r="E17" s="64">
        <f t="shared" si="6"/>
        <v>63.244160207182574</v>
      </c>
      <c r="F17" s="64">
        <v>3.666300000000001</v>
      </c>
      <c r="G17" s="64">
        <f t="shared" si="7"/>
        <v>47.341302617025882</v>
      </c>
      <c r="H17" s="64">
        <v>3.158100000000001</v>
      </c>
      <c r="I17" s="64">
        <f t="shared" si="8"/>
        <v>36.793765455410053</v>
      </c>
      <c r="J17" s="64">
        <v>2.7830000000000004</v>
      </c>
      <c r="K17" s="64">
        <f t="shared" si="9"/>
        <v>28.255518640367381</v>
      </c>
    </row>
    <row r="18" spans="2:21" x14ac:dyDescent="0.2">
      <c r="B18" s="64">
        <v>6.963000000000001</v>
      </c>
      <c r="C18" s="11">
        <f t="shared" si="5"/>
        <v>308.8095244119408</v>
      </c>
      <c r="D18" s="64">
        <v>6.0984000000000007</v>
      </c>
      <c r="E18" s="64">
        <f t="shared" si="6"/>
        <v>185.74864185754157</v>
      </c>
      <c r="F18" s="64">
        <v>5.4994500000000004</v>
      </c>
      <c r="G18" s="64">
        <f t="shared" si="7"/>
        <v>126.5116105175925</v>
      </c>
      <c r="H18" s="64">
        <v>4.7371500000000006</v>
      </c>
      <c r="I18" s="64">
        <f t="shared" si="8"/>
        <v>92.97729903183459</v>
      </c>
      <c r="J18" s="64">
        <v>4.1745000000000001</v>
      </c>
      <c r="K18" s="64">
        <f t="shared" si="9"/>
        <v>69.999574221109228</v>
      </c>
      <c r="M18" s="10"/>
      <c r="N18" s="10"/>
      <c r="O18" s="68" t="s">
        <v>89</v>
      </c>
      <c r="P18" s="68" t="s">
        <v>90</v>
      </c>
    </row>
    <row r="19" spans="2:21" x14ac:dyDescent="0.2">
      <c r="M19" s="57" t="s">
        <v>127</v>
      </c>
      <c r="N19" s="67" t="s">
        <v>87</v>
      </c>
      <c r="O19" s="64">
        <f t="array" ref="O19:P20">LINEST(I4:I9,A4:A9,1,1)</f>
        <v>6.0306275238155882</v>
      </c>
      <c r="P19" s="64">
        <v>-9.7064709605305062</v>
      </c>
    </row>
    <row r="20" spans="2:21" x14ac:dyDescent="0.2">
      <c r="M20" s="67"/>
      <c r="N20" s="67" t="s">
        <v>88</v>
      </c>
      <c r="O20" s="64">
        <v>0.99762033818466844</v>
      </c>
      <c r="P20" s="64">
        <v>7.7275339112540635</v>
      </c>
    </row>
    <row r="21" spans="2:21" x14ac:dyDescent="0.2">
      <c r="M21" s="67"/>
      <c r="N21" s="67"/>
      <c r="O21" s="64">
        <f>O20/O19</f>
        <v>0.16542562680997289</v>
      </c>
    </row>
    <row r="22" spans="2:21" x14ac:dyDescent="0.2">
      <c r="B22" s="64">
        <f t="shared" ref="B22:C27" si="10">B4</f>
        <v>0</v>
      </c>
      <c r="C22" s="11">
        <f t="shared" si="10"/>
        <v>1</v>
      </c>
    </row>
    <row r="23" spans="2:21" x14ac:dyDescent="0.2">
      <c r="B23" s="64">
        <f t="shared" si="10"/>
        <v>0.46343000000000001</v>
      </c>
      <c r="C23" s="11">
        <f t="shared" si="10"/>
        <v>2.1760926330628849</v>
      </c>
      <c r="M23" s="10"/>
      <c r="N23" s="10"/>
      <c r="O23" s="68" t="s">
        <v>89</v>
      </c>
      <c r="P23" s="68" t="s">
        <v>90</v>
      </c>
    </row>
    <row r="24" spans="2:21" x14ac:dyDescent="0.2">
      <c r="B24" s="64">
        <f t="shared" si="10"/>
        <v>1.39029</v>
      </c>
      <c r="C24" s="11">
        <f t="shared" si="10"/>
        <v>5.3341964134827426</v>
      </c>
      <c r="M24" s="57" t="s">
        <v>126</v>
      </c>
      <c r="N24" s="67" t="s">
        <v>87</v>
      </c>
      <c r="O24" s="64">
        <f t="array" ref="O24:P25">LINEST(K4:K9,A4:A9,1,1)</f>
        <v>4.5381253617876913</v>
      </c>
      <c r="P24" s="64">
        <v>-6.7377600834029643</v>
      </c>
    </row>
    <row r="25" spans="2:21" x14ac:dyDescent="0.2">
      <c r="B25" s="64">
        <f t="shared" si="10"/>
        <v>2.3171500000000003</v>
      </c>
      <c r="C25" s="11">
        <f t="shared" si="10"/>
        <v>13.912308050625274</v>
      </c>
      <c r="M25" s="67"/>
      <c r="N25" s="67" t="s">
        <v>88</v>
      </c>
      <c r="O25" s="64">
        <v>0.72847795392481274</v>
      </c>
      <c r="P25" s="64">
        <v>5.6427659672601074</v>
      </c>
    </row>
    <row r="26" spans="2:21" x14ac:dyDescent="0.2">
      <c r="B26" s="64">
        <f t="shared" si="10"/>
        <v>4.6343000000000005</v>
      </c>
      <c r="C26" s="11">
        <f t="shared" si="10"/>
        <v>88.928665180652956</v>
      </c>
      <c r="M26" s="67"/>
      <c r="N26" s="67"/>
      <c r="O26" s="64">
        <f>O25/O24</f>
        <v>0.1605239820078142</v>
      </c>
    </row>
    <row r="27" spans="2:21" x14ac:dyDescent="0.2">
      <c r="B27" s="64">
        <f t="shared" si="10"/>
        <v>6.9514500000000004</v>
      </c>
      <c r="C27" s="11">
        <f t="shared" si="10"/>
        <v>309.8095244119408</v>
      </c>
    </row>
    <row r="28" spans="2:21" x14ac:dyDescent="0.2">
      <c r="B28" s="64">
        <f t="shared" ref="B28:C33" si="11">D4</f>
        <v>0</v>
      </c>
      <c r="C28" s="64">
        <f t="shared" si="11"/>
        <v>1</v>
      </c>
    </row>
    <row r="29" spans="2:21" x14ac:dyDescent="0.2">
      <c r="B29" s="64">
        <f t="shared" si="11"/>
        <v>0.40656000000000009</v>
      </c>
      <c r="C29" s="64">
        <f t="shared" si="11"/>
        <v>2.2466354848381864</v>
      </c>
      <c r="S29" s="64" t="s">
        <v>128</v>
      </c>
      <c r="T29" s="64" t="s">
        <v>129</v>
      </c>
    </row>
    <row r="30" spans="2:21" x14ac:dyDescent="0.2">
      <c r="B30" s="64">
        <f t="shared" si="11"/>
        <v>1.2196800000000003</v>
      </c>
      <c r="C30" s="64">
        <f t="shared" si="11"/>
        <v>4.8344075598041334</v>
      </c>
      <c r="R30" s="76" t="s">
        <v>33</v>
      </c>
      <c r="S30" s="76" t="s">
        <v>130</v>
      </c>
      <c r="T30" s="76" t="s">
        <v>13</v>
      </c>
      <c r="U30" s="76" t="s">
        <v>131</v>
      </c>
    </row>
    <row r="31" spans="2:21" x14ac:dyDescent="0.2">
      <c r="B31" s="64">
        <f t="shared" si="11"/>
        <v>2.0328000000000004</v>
      </c>
      <c r="C31" s="64">
        <f t="shared" si="11"/>
        <v>11.403097559801452</v>
      </c>
      <c r="R31" s="76">
        <v>20</v>
      </c>
      <c r="S31" s="77">
        <f>'[1]20c'!C18</f>
        <v>38.299999999999997</v>
      </c>
      <c r="T31" s="77">
        <v>105.50380590873543</v>
      </c>
      <c r="U31" s="77">
        <v>50.4</v>
      </c>
    </row>
    <row r="32" spans="2:21" x14ac:dyDescent="0.2">
      <c r="B32" s="64">
        <f t="shared" si="11"/>
        <v>4.0656000000000008</v>
      </c>
      <c r="C32" s="64">
        <f t="shared" si="11"/>
        <v>64.244160207182574</v>
      </c>
      <c r="R32" s="76">
        <v>30</v>
      </c>
      <c r="S32" s="77">
        <f>'[1]30c'!C19</f>
        <v>33.6</v>
      </c>
      <c r="T32" s="77">
        <v>99.288723692372372</v>
      </c>
      <c r="U32" s="77">
        <v>47.3</v>
      </c>
    </row>
    <row r="33" spans="2:21" x14ac:dyDescent="0.2">
      <c r="B33" s="64">
        <f t="shared" si="11"/>
        <v>6.0984000000000007</v>
      </c>
      <c r="C33" s="64">
        <f t="shared" si="11"/>
        <v>186.74864185754157</v>
      </c>
      <c r="R33" s="76">
        <v>40</v>
      </c>
      <c r="S33" s="77">
        <f>'[1]40c'!C19</f>
        <v>30.3</v>
      </c>
      <c r="T33" s="77">
        <v>88.275569445794787</v>
      </c>
      <c r="U33" s="77">
        <v>45.5</v>
      </c>
    </row>
    <row r="34" spans="2:21" x14ac:dyDescent="0.2">
      <c r="B34" s="64">
        <f t="shared" ref="B34:C39" si="12">F4</f>
        <v>0</v>
      </c>
      <c r="C34" s="64">
        <f t="shared" si="12"/>
        <v>1</v>
      </c>
      <c r="R34" s="76">
        <v>50</v>
      </c>
      <c r="S34" s="77">
        <f>'[1]50c'!C19</f>
        <v>26.1</v>
      </c>
      <c r="T34" s="77">
        <v>83.219058988217313</v>
      </c>
      <c r="U34" s="77">
        <v>43.2</v>
      </c>
    </row>
    <row r="35" spans="2:21" x14ac:dyDescent="0.2">
      <c r="B35" s="64">
        <f t="shared" si="12"/>
        <v>0.36663000000000007</v>
      </c>
      <c r="C35" s="64">
        <f t="shared" si="12"/>
        <v>2.1883847826285967</v>
      </c>
      <c r="R35" s="76">
        <v>60</v>
      </c>
      <c r="S35" s="77">
        <f>'[1]60c'!C19</f>
        <v>23</v>
      </c>
      <c r="T35" s="77">
        <v>78.071540195545253</v>
      </c>
      <c r="U35" s="77">
        <v>40.1</v>
      </c>
    </row>
    <row r="36" spans="2:21" x14ac:dyDescent="0.2">
      <c r="B36" s="64">
        <f t="shared" si="12"/>
        <v>1.0998900000000003</v>
      </c>
      <c r="C36" s="64">
        <f t="shared" si="12"/>
        <v>4.2746626102241567</v>
      </c>
    </row>
    <row r="37" spans="2:21" x14ac:dyDescent="0.2">
      <c r="B37" s="64">
        <f t="shared" si="12"/>
        <v>1.8331500000000005</v>
      </c>
      <c r="C37" s="64">
        <f t="shared" si="12"/>
        <v>9.4822003739417173</v>
      </c>
      <c r="R37" s="64">
        <v>20</v>
      </c>
      <c r="S37" s="64">
        <v>38.299999999999997</v>
      </c>
      <c r="T37" s="64">
        <v>105.50380590873543</v>
      </c>
      <c r="U37" s="64">
        <v>50.4</v>
      </c>
    </row>
    <row r="38" spans="2:21" x14ac:dyDescent="0.2">
      <c r="B38" s="64">
        <f t="shared" si="12"/>
        <v>3.666300000000001</v>
      </c>
      <c r="C38" s="64">
        <f t="shared" si="12"/>
        <v>48.341302617025882</v>
      </c>
      <c r="R38" s="64">
        <v>30</v>
      </c>
      <c r="S38" s="64">
        <v>33.6</v>
      </c>
      <c r="T38" s="64">
        <v>99.288723692372372</v>
      </c>
      <c r="U38" s="64">
        <v>47.3</v>
      </c>
    </row>
    <row r="39" spans="2:21" x14ac:dyDescent="0.2">
      <c r="B39" s="64">
        <f t="shared" si="12"/>
        <v>5.4994500000000004</v>
      </c>
      <c r="C39" s="64">
        <f t="shared" si="12"/>
        <v>127.5116105175925</v>
      </c>
      <c r="R39" s="64">
        <v>40</v>
      </c>
      <c r="S39" s="64">
        <v>30.3</v>
      </c>
      <c r="T39" s="64">
        <v>88.275569445794787</v>
      </c>
      <c r="U39" s="64">
        <v>45.5</v>
      </c>
    </row>
    <row r="40" spans="2:21" x14ac:dyDescent="0.2">
      <c r="B40" s="64">
        <f t="shared" ref="B40:C45" si="13">H4</f>
        <v>0</v>
      </c>
      <c r="C40" s="64">
        <f t="shared" si="13"/>
        <v>1</v>
      </c>
      <c r="R40" s="64">
        <v>50</v>
      </c>
      <c r="S40" s="64">
        <v>26.1</v>
      </c>
      <c r="T40" s="64">
        <v>83.219058988217313</v>
      </c>
      <c r="U40" s="64">
        <v>43.2</v>
      </c>
    </row>
    <row r="41" spans="2:21" x14ac:dyDescent="0.2">
      <c r="B41" s="64">
        <f t="shared" si="13"/>
        <v>0.31581000000000004</v>
      </c>
      <c r="C41" s="64">
        <f t="shared" si="13"/>
        <v>2.2374461699130519</v>
      </c>
      <c r="R41" s="64">
        <v>60</v>
      </c>
      <c r="S41" s="64">
        <v>23</v>
      </c>
      <c r="T41" s="64">
        <v>78.071540195545253</v>
      </c>
      <c r="U41" s="64">
        <v>40.1</v>
      </c>
    </row>
    <row r="42" spans="2:21" x14ac:dyDescent="0.2">
      <c r="B42" s="64">
        <f t="shared" si="13"/>
        <v>0.94743000000000022</v>
      </c>
      <c r="C42" s="64">
        <f t="shared" si="13"/>
        <v>3.899343616452029</v>
      </c>
    </row>
    <row r="43" spans="2:21" x14ac:dyDescent="0.2">
      <c r="B43" s="64">
        <f t="shared" si="13"/>
        <v>1.5790500000000005</v>
      </c>
      <c r="C43" s="64">
        <f t="shared" si="13"/>
        <v>7.894655772937238</v>
      </c>
      <c r="R43" s="64">
        <f>AVERAGE(R37:R41)</f>
        <v>40</v>
      </c>
      <c r="S43" s="64">
        <f>AVERAGE(S37:S41)</f>
        <v>30.26</v>
      </c>
      <c r="T43" s="64">
        <f>AVERAGE(T37:T41)</f>
        <v>90.871739646133022</v>
      </c>
    </row>
    <row r="44" spans="2:21" x14ac:dyDescent="0.2">
      <c r="B44" s="64">
        <f t="shared" si="13"/>
        <v>3.158100000000001</v>
      </c>
      <c r="C44" s="64">
        <f t="shared" si="13"/>
        <v>37.793765455410053</v>
      </c>
      <c r="R44" s="64">
        <f>STDEV(R37:R41)</f>
        <v>15.811388300841896</v>
      </c>
      <c r="S44" s="64">
        <f>STDEV(S37:S41)</f>
        <v>6.037631986134941</v>
      </c>
      <c r="T44" s="64">
        <f>STDEV(T37:T41)</f>
        <v>11.336795297656021</v>
      </c>
    </row>
    <row r="45" spans="2:21" x14ac:dyDescent="0.2">
      <c r="B45" s="64">
        <f t="shared" si="13"/>
        <v>4.7371500000000006</v>
      </c>
      <c r="C45" s="64">
        <f t="shared" si="13"/>
        <v>93.97729903183459</v>
      </c>
      <c r="R45" s="64">
        <f>R44/R43</f>
        <v>0.39528470752104738</v>
      </c>
      <c r="S45" s="64">
        <f>S44/S43</f>
        <v>0.19952518129989891</v>
      </c>
      <c r="T45" s="64">
        <f>T44/T43</f>
        <v>0.12475600601246385</v>
      </c>
    </row>
    <row r="46" spans="2:21" x14ac:dyDescent="0.2">
      <c r="B46" s="64">
        <f t="shared" ref="B46:C51" si="14">J4</f>
        <v>0</v>
      </c>
      <c r="C46" s="64">
        <f t="shared" si="14"/>
        <v>1</v>
      </c>
    </row>
    <row r="47" spans="2:21" x14ac:dyDescent="0.2">
      <c r="B47" s="64">
        <f t="shared" si="14"/>
        <v>0.27830000000000005</v>
      </c>
      <c r="C47" s="64">
        <f t="shared" si="14"/>
        <v>2.2698662647622796</v>
      </c>
    </row>
    <row r="48" spans="2:21" x14ac:dyDescent="0.2">
      <c r="B48" s="64">
        <f t="shared" si="14"/>
        <v>0.83490000000000009</v>
      </c>
      <c r="C48" s="64">
        <f t="shared" si="14"/>
        <v>3.4505459739152577</v>
      </c>
    </row>
    <row r="49" spans="2:3" x14ac:dyDescent="0.2">
      <c r="B49" s="64">
        <f t="shared" si="14"/>
        <v>1.3915000000000002</v>
      </c>
      <c r="C49" s="64">
        <f t="shared" si="14"/>
        <v>6.8941967002095623</v>
      </c>
    </row>
    <row r="50" spans="2:3" x14ac:dyDescent="0.2">
      <c r="B50" s="64">
        <f t="shared" si="14"/>
        <v>2.7830000000000004</v>
      </c>
      <c r="C50" s="64">
        <f t="shared" si="14"/>
        <v>29.255518640367381</v>
      </c>
    </row>
    <row r="51" spans="2:3" x14ac:dyDescent="0.2">
      <c r="B51" s="64">
        <f t="shared" si="14"/>
        <v>4.1745000000000001</v>
      </c>
      <c r="C51" s="64">
        <f t="shared" si="14"/>
        <v>70.999574221109228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6"/>
  <sheetViews>
    <sheetView workbookViewId="0">
      <selection activeCell="A15" sqref="A15"/>
    </sheetView>
  </sheetViews>
  <sheetFormatPr defaultRowHeight="12.75" x14ac:dyDescent="0.2"/>
  <sheetData>
    <row r="2" spans="1:6" x14ac:dyDescent="0.2">
      <c r="A2" s="64"/>
      <c r="B2" s="64"/>
      <c r="C2" s="11"/>
      <c r="D2" s="64" t="s">
        <v>102</v>
      </c>
      <c r="E2" s="64" t="s">
        <v>105</v>
      </c>
      <c r="F2" s="64"/>
    </row>
    <row r="3" spans="1:6" x14ac:dyDescent="0.2">
      <c r="A3" s="64"/>
      <c r="B3" s="64"/>
      <c r="C3" s="64" t="s">
        <v>103</v>
      </c>
      <c r="D3" s="43">
        <v>28000000000</v>
      </c>
      <c r="E3" s="11">
        <v>0.38221917523270216</v>
      </c>
      <c r="F3" s="64"/>
    </row>
    <row r="4" spans="1:6" x14ac:dyDescent="0.2">
      <c r="A4" s="64"/>
      <c r="B4" s="64"/>
      <c r="C4" s="64" t="s">
        <v>104</v>
      </c>
      <c r="D4" s="43">
        <v>22000000000</v>
      </c>
      <c r="E4" s="11">
        <v>0.53837307657309108</v>
      </c>
      <c r="F4" s="64"/>
    </row>
    <row r="5" spans="1:6" x14ac:dyDescent="0.2">
      <c r="A5" s="64"/>
      <c r="B5" s="64"/>
      <c r="C5" s="11"/>
      <c r="D5" s="64"/>
      <c r="E5" s="11"/>
      <c r="F5" s="64"/>
    </row>
    <row r="6" spans="1:6" x14ac:dyDescent="0.2">
      <c r="A6" s="64"/>
      <c r="B6" s="64"/>
      <c r="C6" s="64"/>
      <c r="D6" s="7">
        <v>0.03</v>
      </c>
      <c r="E6" s="64">
        <v>0.31795761199786571</v>
      </c>
      <c r="F6" s="64"/>
    </row>
    <row r="7" spans="1:6" x14ac:dyDescent="0.2">
      <c r="A7" s="72"/>
      <c r="B7" s="72" t="s">
        <v>103</v>
      </c>
      <c r="C7" s="72" t="s">
        <v>104</v>
      </c>
      <c r="D7" s="64"/>
      <c r="E7" s="64">
        <v>0.43615945348340929</v>
      </c>
      <c r="F7" s="64"/>
    </row>
    <row r="8" spans="1:6" x14ac:dyDescent="0.2">
      <c r="A8" s="72">
        <v>0</v>
      </c>
      <c r="B8" s="72">
        <v>0.79724329197546795</v>
      </c>
      <c r="C8" s="73">
        <v>1.121902662685333</v>
      </c>
      <c r="D8" s="64"/>
      <c r="E8" s="64"/>
      <c r="F8" s="64"/>
    </row>
    <row r="9" spans="1:6" x14ac:dyDescent="0.2">
      <c r="A9" s="72">
        <v>1</v>
      </c>
      <c r="B9" s="74">
        <v>0.38221917523270216</v>
      </c>
      <c r="C9" s="72">
        <v>0.53837307657309108</v>
      </c>
      <c r="D9" s="7">
        <v>0.05</v>
      </c>
      <c r="E9" s="64">
        <v>0.1157554267916268</v>
      </c>
      <c r="F9" s="64"/>
    </row>
    <row r="10" spans="1:6" x14ac:dyDescent="0.2">
      <c r="A10" s="72">
        <v>3</v>
      </c>
      <c r="B10" s="72">
        <v>0.31795761199786571</v>
      </c>
      <c r="C10" s="72">
        <v>0.43615945348340929</v>
      </c>
      <c r="D10" s="64"/>
      <c r="E10" s="64">
        <v>0.16364126164347806</v>
      </c>
      <c r="F10" s="64"/>
    </row>
    <row r="11" spans="1:6" x14ac:dyDescent="0.2">
      <c r="A11" s="72">
        <v>5</v>
      </c>
      <c r="B11" s="72">
        <v>0.1157554267916268</v>
      </c>
      <c r="C11" s="72">
        <v>0.16364126164347806</v>
      </c>
      <c r="D11" s="64"/>
      <c r="E11" s="64"/>
      <c r="F11" s="64"/>
    </row>
    <row r="12" spans="1:6" x14ac:dyDescent="0.2">
      <c r="A12" s="72">
        <v>10</v>
      </c>
      <c r="B12" s="72">
        <v>5.9311118260397505E-2</v>
      </c>
      <c r="C12" s="72">
        <v>8.8664881032026022E-2</v>
      </c>
      <c r="D12" s="7">
        <v>0.1</v>
      </c>
      <c r="E12" s="64">
        <v>5.9311118260397505E-2</v>
      </c>
      <c r="F12" s="64"/>
    </row>
    <row r="13" spans="1:6" x14ac:dyDescent="0.2">
      <c r="A13" s="72">
        <v>15</v>
      </c>
      <c r="B13" s="72">
        <v>3.5857182959589236E-2</v>
      </c>
      <c r="C13" s="72">
        <v>5.493459329915059E-2</v>
      </c>
      <c r="D13" s="64"/>
      <c r="E13" s="64">
        <v>8.8664881032026022E-2</v>
      </c>
      <c r="F13" s="64"/>
    </row>
    <row r="14" spans="1:6" ht="23.25" x14ac:dyDescent="0.35">
      <c r="A14" s="64"/>
      <c r="B14" s="79" t="s">
        <v>140</v>
      </c>
      <c r="C14" s="64"/>
      <c r="D14" s="64"/>
      <c r="E14" s="64"/>
      <c r="F14" s="64"/>
    </row>
    <row r="15" spans="1:6" x14ac:dyDescent="0.2">
      <c r="A15" s="64">
        <v>0</v>
      </c>
      <c r="B15" s="64">
        <f>0.66667*B8</f>
        <v>0.53149818546128524</v>
      </c>
      <c r="C15" s="43">
        <f>0.66667*C8</f>
        <v>0.74793884813243094</v>
      </c>
      <c r="D15" s="64"/>
      <c r="E15" s="64"/>
      <c r="F15" s="64"/>
    </row>
    <row r="16" spans="1:6" x14ac:dyDescent="0.2">
      <c r="A16" s="64">
        <v>1</v>
      </c>
      <c r="B16" s="64">
        <f t="shared" ref="B16:C19" si="0">0.66667*B9</f>
        <v>0.25481405755238556</v>
      </c>
      <c r="C16" s="43">
        <f t="shared" si="0"/>
        <v>0.35891717895898262</v>
      </c>
      <c r="D16" s="64">
        <v>15</v>
      </c>
      <c r="E16" s="64">
        <v>3.5857182959589236E-2</v>
      </c>
      <c r="F16" s="64"/>
    </row>
    <row r="17" spans="1:6" x14ac:dyDescent="0.2">
      <c r="A17">
        <v>3</v>
      </c>
      <c r="B17" s="64">
        <f t="shared" si="0"/>
        <v>0.21197280119061712</v>
      </c>
      <c r="C17" s="43">
        <f t="shared" si="0"/>
        <v>0.29077442285378446</v>
      </c>
      <c r="D17" s="64"/>
      <c r="E17" s="64">
        <v>5.493459329915059E-2</v>
      </c>
      <c r="F17" s="64"/>
    </row>
    <row r="18" spans="1:6" x14ac:dyDescent="0.2">
      <c r="A18">
        <v>5</v>
      </c>
      <c r="B18" s="64">
        <f t="shared" si="0"/>
        <v>7.7170670379173842E-2</v>
      </c>
      <c r="C18" s="43">
        <f t="shared" si="0"/>
        <v>0.10909471989985751</v>
      </c>
      <c r="D18" s="64"/>
      <c r="E18" s="64"/>
      <c r="F18" s="64"/>
    </row>
    <row r="19" spans="1:6" x14ac:dyDescent="0.2">
      <c r="A19">
        <v>10</v>
      </c>
      <c r="B19" s="64">
        <f t="shared" si="0"/>
        <v>3.95409432106592E-2</v>
      </c>
      <c r="C19" s="43">
        <f t="shared" si="0"/>
        <v>5.9110216237620784E-2</v>
      </c>
      <c r="D19" s="64"/>
      <c r="E19" s="64"/>
      <c r="F19" s="64"/>
    </row>
    <row r="20" spans="1:6" x14ac:dyDescent="0.2">
      <c r="A20">
        <v>15</v>
      </c>
      <c r="B20" s="64">
        <f>0.66667*B13</f>
        <v>2.3904908163669355E-2</v>
      </c>
      <c r="C20" s="43">
        <f t="shared" ref="C20" si="1">0.66667*C13</f>
        <v>3.6623245314744722E-2</v>
      </c>
      <c r="D20" s="64"/>
      <c r="E20" s="64"/>
      <c r="F20" s="64"/>
    </row>
    <row r="26" spans="1:6" x14ac:dyDescent="0.2">
      <c r="A26" s="64">
        <f>AVERAGE(A8:A13)</f>
        <v>5.666666666666667</v>
      </c>
      <c r="B26" s="64">
        <f>AVERAGE(B8:B13)</f>
        <v>0.28472396786960824</v>
      </c>
      <c r="C26" s="64">
        <f>AVERAGE(C8:C13)</f>
        <v>0.40061265478608138</v>
      </c>
    </row>
    <row r="27" spans="1:6" x14ac:dyDescent="0.2">
      <c r="A27" s="64">
        <f>STDEV(A8:A13)</f>
        <v>5.7850381733111034</v>
      </c>
      <c r="B27" s="64">
        <f>STDEV(B8:B13)</f>
        <v>0.28795202566301187</v>
      </c>
      <c r="C27" s="64">
        <f>STDEV(C8:C13)</f>
        <v>0.40335120208455699</v>
      </c>
    </row>
    <row r="28" spans="1:6" x14ac:dyDescent="0.2">
      <c r="A28" s="64">
        <f>A27/A26</f>
        <v>1.0208890894078417</v>
      </c>
      <c r="B28" s="64">
        <f t="shared" ref="B28:C28" si="2">B27/B26</f>
        <v>1.0113374993245456</v>
      </c>
      <c r="C28" s="64">
        <f t="shared" si="2"/>
        <v>1.0068358981319199</v>
      </c>
    </row>
    <row r="29" spans="1:6" x14ac:dyDescent="0.2">
      <c r="A29" s="64"/>
      <c r="B29" s="64"/>
      <c r="C29" s="64"/>
    </row>
    <row r="31" spans="1:6" x14ac:dyDescent="0.2">
      <c r="B31">
        <f t="array" ref="B31:C32">LINEST(B8:B13,A8:A13, 1, 1)</f>
        <v>-3.9650060769229674E-2</v>
      </c>
      <c r="C31">
        <v>0.50940764556190976</v>
      </c>
    </row>
    <row r="32" spans="1:6" x14ac:dyDescent="0.2">
      <c r="B32">
        <v>1.50453766195909E-2</v>
      </c>
      <c r="C32">
        <v>0.116540986170188</v>
      </c>
    </row>
    <row r="35" spans="2:3" x14ac:dyDescent="0.2">
      <c r="B35" s="64">
        <f t="array" ref="B35:C36">LINEST(C8:C13,A8:A13, 1, 1)</f>
        <v>-5.5249630324772127E-2</v>
      </c>
      <c r="C35" s="64">
        <v>0.71369389329312338</v>
      </c>
    </row>
    <row r="36" spans="2:3" x14ac:dyDescent="0.2">
      <c r="B36" s="64">
        <v>2.1264987854033218E-2</v>
      </c>
      <c r="C36" s="64">
        <v>0.16471788763194731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Diff VS wt% of xylan and temp</vt:lpstr>
      <vt:lpstr>Ln(D) of xylan with 15%cell</vt:lpstr>
      <vt:lpstr>Ln Eta vs 1 over temp </vt:lpstr>
      <vt:lpstr>Ratio of Dan to Dcat</vt:lpstr>
      <vt:lpstr>ActivaEnergy ofXylan &amp;Cellulol </vt:lpstr>
      <vt:lpstr>RH vs CON,%</vt:lpstr>
      <vt:lpstr>PPM of xylan at 40c</vt:lpstr>
      <vt:lpstr>PPM of xylan at 50c</vt:lpstr>
      <vt:lpstr>Ln (D) vs Temp to eta</vt:lpstr>
      <vt:lpstr>Viscosity vs shear rate @40c </vt:lpstr>
      <vt:lpstr>lnT2 vs 1 over Temp</vt:lpstr>
      <vt:lpstr>Ln T1 s  vs 1over Temp </vt:lpstr>
      <vt:lpstr>Viscos VS xylan concentrations</vt:lpstr>
      <vt:lpstr>LnEta of xylan&amp; cellu vs Temp</vt:lpstr>
      <vt:lpstr>Activ energy of viscos, T1&amp;T2 </vt:lpstr>
      <vt:lpstr>T1 vs temp over visocsity </vt:lpstr>
      <vt:lpstr>T2 vs Temp over Eta</vt:lpstr>
      <vt:lpstr>Intrinsic viscosity of xylan</vt:lpstr>
      <vt:lpstr> the correction term</vt:lpstr>
    </vt:vector>
  </TitlesOfParts>
  <Company>University of Leeds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Wafa Ezzawam [pywme]</dc:creator>
  <cp:lastModifiedBy>Nick Sheppard</cp:lastModifiedBy>
  <dcterms:created xsi:type="dcterms:W3CDTF">2016-10-24T13:35:03Z</dcterms:created>
  <dcterms:modified xsi:type="dcterms:W3CDTF">2018-09-25T10:57:55Z</dcterms:modified>
</cp:coreProperties>
</file>