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fue5dup\OneDrive - University of Leeds\PDRA_PhD\Hafizah Abdul Halim Yun\For Sergio\Resubmission JCLP\data DOI files\"/>
    </mc:Choice>
  </mc:AlternateContent>
  <bookViews>
    <workbookView xWindow="0" yWindow="0" windowWidth="16392" windowHeight="5640" tabRatio="836" activeTab="1"/>
  </bookViews>
  <sheets>
    <sheet name="metadata" sheetId="39" r:id="rId1"/>
    <sheet name="Table 8 Journals" sheetId="1" r:id="rId2"/>
    <sheet name="Reaction of biomass to CH4" sheetId="5" r:id="rId3"/>
    <sheet name="Fendt" sheetId="19" r:id="rId4"/>
    <sheet name="Tremel" sheetId="20" r:id="rId5"/>
    <sheet name="Meijden" sheetId="21" r:id="rId6"/>
    <sheet name="Gassner" sheetId="22" r:id="rId7"/>
    <sheet name="Duret" sheetId="24" r:id="rId8"/>
    <sheet name="OurWork(a)" sheetId="37" r:id="rId9"/>
    <sheet name="OurWork(b)" sheetId="36" r:id="rId10"/>
    <sheet name="heat duty by unit" sheetId="38" r:id="rId11"/>
    <sheet name="Table-Summary" sheetId="16" r:id="rId1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15" i="16" l="1"/>
  <c r="C38" i="38" l="1"/>
  <c r="N21" i="38" s="1"/>
  <c r="B38" i="38"/>
  <c r="D30" i="38"/>
  <c r="C30" i="38"/>
  <c r="B30" i="38"/>
  <c r="E13" i="38"/>
  <c r="D13" i="38"/>
  <c r="C13" i="38"/>
  <c r="B13" i="38"/>
  <c r="N10" i="38"/>
  <c r="N9" i="38"/>
  <c r="N8" i="38"/>
  <c r="N7" i="38"/>
  <c r="N6" i="38"/>
  <c r="K6" i="38"/>
  <c r="N20" i="38" s="1"/>
  <c r="J6" i="38"/>
  <c r="N16" i="38" s="1"/>
  <c r="I6" i="38"/>
  <c r="N19" i="38" s="1"/>
  <c r="H6" i="38"/>
  <c r="N11" i="38" s="1"/>
  <c r="G6" i="38"/>
  <c r="F6" i="38"/>
  <c r="E6" i="38"/>
  <c r="D6" i="38"/>
  <c r="N15" i="38" s="1"/>
  <c r="C6" i="38"/>
  <c r="N18" i="38" s="1"/>
  <c r="B6" i="38"/>
  <c r="N22" i="38" s="1"/>
  <c r="N24" i="38" l="1"/>
  <c r="N12" i="38"/>
  <c r="N14" i="38" s="1"/>
  <c r="N23" i="38"/>
  <c r="B71" i="37"/>
  <c r="B70" i="37"/>
  <c r="B25" i="16" s="1"/>
  <c r="B71" i="36"/>
  <c r="B70" i="36"/>
  <c r="C25" i="16" s="1"/>
  <c r="B63" i="36"/>
  <c r="C22" i="16" s="1"/>
  <c r="B63" i="37"/>
  <c r="B55" i="37"/>
  <c r="B59" i="37" s="1"/>
  <c r="N25" i="38" l="1"/>
  <c r="B45" i="24"/>
  <c r="B48" i="37"/>
  <c r="B65" i="37" s="1"/>
  <c r="B23" i="16" s="1"/>
  <c r="B55" i="36"/>
  <c r="B48" i="36"/>
  <c r="C44" i="36" l="1"/>
  <c r="B65" i="36"/>
  <c r="C23" i="16" s="1"/>
  <c r="C44" i="37"/>
  <c r="B56" i="37"/>
  <c r="C46" i="37"/>
  <c r="C45" i="37"/>
  <c r="C47" i="37"/>
  <c r="C45" i="36"/>
  <c r="B56" i="36"/>
  <c r="C47" i="36"/>
  <c r="C46" i="36"/>
  <c r="B53" i="37" l="1"/>
  <c r="B53" i="36"/>
  <c r="C48" i="37"/>
  <c r="C48" i="36"/>
  <c r="F11" i="16" l="1"/>
  <c r="F7" i="16"/>
  <c r="F8" i="16"/>
  <c r="F9" i="16"/>
  <c r="F10" i="16"/>
  <c r="F6" i="16"/>
  <c r="B79" i="24" l="1"/>
  <c r="B75" i="24"/>
  <c r="B33" i="36"/>
  <c r="B33" i="37"/>
  <c r="B34" i="21"/>
  <c r="C6" i="21"/>
  <c r="C10" i="36" l="1"/>
  <c r="C9" i="36"/>
  <c r="C8" i="36"/>
  <c r="C19" i="36" s="1"/>
  <c r="C7" i="36"/>
  <c r="C18" i="36" s="1"/>
  <c r="C6" i="36"/>
  <c r="C17" i="36" s="1"/>
  <c r="C18" i="21"/>
  <c r="C11" i="21"/>
  <c r="C10" i="21"/>
  <c r="C9" i="21"/>
  <c r="C8" i="21"/>
  <c r="C20" i="21" s="1"/>
  <c r="C7" i="21"/>
  <c r="C19" i="21" s="1"/>
  <c r="C10" i="37"/>
  <c r="C8" i="37"/>
  <c r="C19" i="37" s="1"/>
  <c r="C7" i="37"/>
  <c r="C18" i="37" s="1"/>
  <c r="C6" i="37"/>
  <c r="C17" i="37" s="1"/>
  <c r="B12" i="16" l="1"/>
  <c r="B7" i="16"/>
  <c r="B8" i="16"/>
  <c r="B9" i="16"/>
  <c r="B10" i="16"/>
  <c r="B6" i="16"/>
  <c r="C6" i="16"/>
  <c r="B4" i="16"/>
  <c r="C4" i="16"/>
  <c r="B40" i="37"/>
  <c r="B37" i="37"/>
  <c r="B34" i="37"/>
  <c r="B35" i="37" s="1"/>
  <c r="B15" i="16" s="1"/>
  <c r="B11" i="37"/>
  <c r="B22" i="16" l="1"/>
  <c r="B41" i="37"/>
  <c r="C9" i="37"/>
  <c r="B17" i="16" l="1"/>
  <c r="C11" i="37"/>
  <c r="C23" i="37" l="1"/>
  <c r="G27" i="37" s="1"/>
  <c r="C24" i="37"/>
  <c r="J27" i="37" s="1"/>
  <c r="B30" i="37" s="1"/>
  <c r="C22" i="37"/>
  <c r="D27" i="37" s="1"/>
  <c r="B58" i="37" l="1"/>
  <c r="B64" i="37"/>
  <c r="B21" i="16" s="1"/>
  <c r="H4" i="16"/>
  <c r="G4" i="16"/>
  <c r="F4" i="16"/>
  <c r="E4" i="16"/>
  <c r="D4" i="16"/>
  <c r="C12" i="16"/>
  <c r="C7" i="16"/>
  <c r="C8" i="16"/>
  <c r="C9" i="16"/>
  <c r="C10" i="16"/>
  <c r="G7" i="16"/>
  <c r="G8" i="16"/>
  <c r="G9" i="16"/>
  <c r="G10" i="16"/>
  <c r="G6" i="16"/>
  <c r="F12" i="16"/>
  <c r="E7" i="16"/>
  <c r="E8" i="16"/>
  <c r="E9" i="16"/>
  <c r="E10" i="16"/>
  <c r="E6" i="16"/>
  <c r="D8" i="16"/>
  <c r="D9" i="16"/>
  <c r="D10" i="16"/>
  <c r="D7" i="16"/>
  <c r="D6" i="16"/>
  <c r="B18" i="16" l="1"/>
  <c r="B60" i="37"/>
  <c r="B19" i="16" s="1"/>
  <c r="B11" i="36"/>
  <c r="B40" i="36" l="1"/>
  <c r="B37" i="36"/>
  <c r="B41" i="36" l="1"/>
  <c r="B59" i="36" s="1"/>
  <c r="B34" i="36"/>
  <c r="C11" i="36"/>
  <c r="C17" i="16" l="1"/>
  <c r="B35" i="36"/>
  <c r="C15" i="16" l="1"/>
  <c r="B37" i="24"/>
  <c r="H15" i="16" s="1"/>
  <c r="C9" i="22" l="1"/>
  <c r="C10" i="22"/>
  <c r="C6" i="22"/>
  <c r="C17" i="22" s="1"/>
  <c r="B11" i="22"/>
  <c r="C8" i="22"/>
  <c r="C19" i="22" s="1"/>
  <c r="C7" i="22"/>
  <c r="C18" i="22" s="1"/>
  <c r="E11" i="24"/>
  <c r="B13" i="22" l="1"/>
  <c r="C11" i="22"/>
  <c r="E51" i="22"/>
  <c r="D47" i="22" s="1"/>
  <c r="G12" i="16" l="1"/>
  <c r="B33" i="22"/>
  <c r="C23" i="36"/>
  <c r="G27" i="36" s="1"/>
  <c r="C24" i="36"/>
  <c r="J27" i="36" s="1"/>
  <c r="C22" i="36"/>
  <c r="D27" i="36" s="1"/>
  <c r="D50" i="22"/>
  <c r="C50" i="22" s="1"/>
  <c r="D46" i="22"/>
  <c r="C46" i="22" s="1"/>
  <c r="D49" i="22"/>
  <c r="C49" i="22" s="1"/>
  <c r="D48" i="22"/>
  <c r="C48" i="22" s="1"/>
  <c r="C47" i="22"/>
  <c r="B34" i="22" l="1"/>
  <c r="B30" i="36"/>
  <c r="B64" i="36" s="1"/>
  <c r="C21" i="16" s="1"/>
  <c r="D51" i="22"/>
  <c r="C51" i="22"/>
  <c r="B46" i="22" s="1"/>
  <c r="C18" i="16" l="1"/>
  <c r="B58" i="36"/>
  <c r="B60" i="36" s="1"/>
  <c r="B50" i="22"/>
  <c r="B48" i="22"/>
  <c r="B49" i="22"/>
  <c r="B47" i="22"/>
  <c r="B56" i="22" l="1"/>
  <c r="B58" i="22" s="1"/>
  <c r="B51" i="22"/>
  <c r="B59" i="22" l="1"/>
  <c r="C19" i="16"/>
  <c r="E51" i="21"/>
  <c r="D48" i="21" s="1"/>
  <c r="C48" i="21" s="1"/>
  <c r="E50" i="20"/>
  <c r="D47" i="20" s="1"/>
  <c r="C47" i="20" s="1"/>
  <c r="B41" i="20"/>
  <c r="B42" i="20" s="1"/>
  <c r="B41" i="19"/>
  <c r="B42" i="19" s="1"/>
  <c r="E50" i="19"/>
  <c r="D47" i="19" s="1"/>
  <c r="C47" i="19" s="1"/>
  <c r="D48" i="20" l="1"/>
  <c r="C48" i="20" s="1"/>
  <c r="D47" i="21"/>
  <c r="C47" i="21" s="1"/>
  <c r="D50" i="21"/>
  <c r="C50" i="21" s="1"/>
  <c r="D49" i="21"/>
  <c r="C49" i="21" s="1"/>
  <c r="D49" i="20"/>
  <c r="C49" i="20" s="1"/>
  <c r="D46" i="20"/>
  <c r="D46" i="19"/>
  <c r="D49" i="19"/>
  <c r="C49" i="19" s="1"/>
  <c r="D48" i="19"/>
  <c r="C48" i="19" s="1"/>
  <c r="B41" i="24"/>
  <c r="B42" i="24" s="1"/>
  <c r="B37" i="22"/>
  <c r="G15" i="16" s="1"/>
  <c r="D10" i="24"/>
  <c r="C10" i="24" s="1"/>
  <c r="B38" i="21"/>
  <c r="F15" i="16" s="1"/>
  <c r="B11" i="19"/>
  <c r="C10" i="20"/>
  <c r="C6" i="20"/>
  <c r="C17" i="20" s="1"/>
  <c r="B12" i="21"/>
  <c r="B36" i="20"/>
  <c r="B11" i="20"/>
  <c r="B13" i="20" s="1"/>
  <c r="C9" i="20"/>
  <c r="C8" i="20"/>
  <c r="C19" i="20" s="1"/>
  <c r="C7" i="20"/>
  <c r="C18" i="20" s="1"/>
  <c r="B36" i="19"/>
  <c r="C10" i="19"/>
  <c r="C9" i="19"/>
  <c r="C8" i="19"/>
  <c r="C19" i="19" s="1"/>
  <c r="C7" i="19"/>
  <c r="C18" i="19" s="1"/>
  <c r="C6" i="19"/>
  <c r="C17" i="19" s="1"/>
  <c r="D51" i="21" l="1"/>
  <c r="B52" i="24"/>
  <c r="H22" i="16" s="1"/>
  <c r="B76" i="24"/>
  <c r="B82" i="24" s="1"/>
  <c r="B80" i="24"/>
  <c r="B83" i="24" s="1"/>
  <c r="B85" i="24" s="1"/>
  <c r="B13" i="19"/>
  <c r="B33" i="20"/>
  <c r="E12" i="16"/>
  <c r="B42" i="21"/>
  <c r="B43" i="21" s="1"/>
  <c r="B41" i="22"/>
  <c r="B42" i="22" s="1"/>
  <c r="B62" i="22" s="1"/>
  <c r="B48" i="24"/>
  <c r="H17" i="16" s="1"/>
  <c r="C11" i="20"/>
  <c r="D8" i="24"/>
  <c r="C19" i="24" s="1"/>
  <c r="C51" i="21"/>
  <c r="B48" i="21" s="1"/>
  <c r="C46" i="20"/>
  <c r="D50" i="20"/>
  <c r="C11" i="19"/>
  <c r="D50" i="19"/>
  <c r="C46" i="19"/>
  <c r="D9" i="24"/>
  <c r="C9" i="24" s="1"/>
  <c r="D6" i="24"/>
  <c r="C17" i="24" s="1"/>
  <c r="D7" i="24"/>
  <c r="C18" i="24" s="1"/>
  <c r="D12" i="16" l="1"/>
  <c r="B33" i="19"/>
  <c r="B34" i="19" s="1"/>
  <c r="B68" i="22"/>
  <c r="G23" i="16" s="1"/>
  <c r="B66" i="22"/>
  <c r="G22" i="16" s="1"/>
  <c r="B34" i="20"/>
  <c r="G17" i="16"/>
  <c r="C24" i="20"/>
  <c r="J27" i="20" s="1"/>
  <c r="B30" i="20" s="1"/>
  <c r="C8" i="24"/>
  <c r="B47" i="21"/>
  <c r="B49" i="21"/>
  <c r="B50" i="21"/>
  <c r="C50" i="20"/>
  <c r="B49" i="20" s="1"/>
  <c r="C50" i="19"/>
  <c r="B46" i="19" s="1"/>
  <c r="C7" i="24"/>
  <c r="C6" i="24"/>
  <c r="D11" i="24"/>
  <c r="C22" i="24"/>
  <c r="D27" i="24" s="1"/>
  <c r="B35" i="22"/>
  <c r="B59" i="20" l="1"/>
  <c r="B65" i="20"/>
  <c r="E21" i="16" s="1"/>
  <c r="C22" i="20"/>
  <c r="D27" i="20" s="1"/>
  <c r="E18" i="16"/>
  <c r="C24" i="24"/>
  <c r="J27" i="24" s="1"/>
  <c r="B35" i="20"/>
  <c r="C23" i="20"/>
  <c r="G27" i="20" s="1"/>
  <c r="C23" i="24"/>
  <c r="G27" i="24" s="1"/>
  <c r="B35" i="19"/>
  <c r="D15" i="16" s="1"/>
  <c r="B55" i="21"/>
  <c r="B57" i="21" s="1"/>
  <c r="B58" i="21" s="1"/>
  <c r="B61" i="21" s="1"/>
  <c r="C11" i="24"/>
  <c r="B6" i="24" s="1"/>
  <c r="H6" i="16" s="1"/>
  <c r="B51" i="21"/>
  <c r="B48" i="20"/>
  <c r="B47" i="20"/>
  <c r="B46" i="20"/>
  <c r="C24" i="19"/>
  <c r="J27" i="19" s="1"/>
  <c r="B30" i="19" s="1"/>
  <c r="B65" i="19" s="1"/>
  <c r="D21" i="16" s="1"/>
  <c r="B47" i="19"/>
  <c r="B48" i="19"/>
  <c r="B54" i="19" s="1"/>
  <c r="B49" i="19"/>
  <c r="B54" i="20" l="1"/>
  <c r="B56" i="20" s="1"/>
  <c r="B30" i="24"/>
  <c r="D18" i="16"/>
  <c r="B59" i="19"/>
  <c r="C23" i="19"/>
  <c r="G27" i="19" s="1"/>
  <c r="B7" i="24"/>
  <c r="H7" i="16" s="1"/>
  <c r="B65" i="21"/>
  <c r="B56" i="19"/>
  <c r="B10" i="24"/>
  <c r="H10" i="16" s="1"/>
  <c r="B9" i="24"/>
  <c r="H9" i="16" s="1"/>
  <c r="B8" i="24"/>
  <c r="H8" i="16" s="1"/>
  <c r="B50" i="20"/>
  <c r="B50" i="19"/>
  <c r="C22" i="19"/>
  <c r="D27" i="19" s="1"/>
  <c r="B57" i="19" l="1"/>
  <c r="B66" i="19"/>
  <c r="D23" i="16" s="1"/>
  <c r="B53" i="24"/>
  <c r="H21" i="16" s="1"/>
  <c r="B54" i="24"/>
  <c r="B86" i="24"/>
  <c r="B87" i="24" s="1"/>
  <c r="B47" i="24"/>
  <c r="B49" i="24" s="1"/>
  <c r="H19" i="16" s="1"/>
  <c r="H18" i="16"/>
  <c r="B57" i="20"/>
  <c r="B66" i="20"/>
  <c r="E23" i="16" s="1"/>
  <c r="B58" i="20"/>
  <c r="C12" i="21"/>
  <c r="B11" i="24"/>
  <c r="B13" i="24" s="1"/>
  <c r="C22" i="22"/>
  <c r="D27" i="22" s="1"/>
  <c r="C24" i="22"/>
  <c r="J27" i="22" s="1"/>
  <c r="B30" i="22" s="1"/>
  <c r="C23" i="22"/>
  <c r="G27" i="22" s="1"/>
  <c r="B64" i="20" l="1"/>
  <c r="E22" i="16" s="1"/>
  <c r="B60" i="20"/>
  <c r="B60" i="19"/>
  <c r="B64" i="19"/>
  <c r="D22" i="16" s="1"/>
  <c r="G18" i="16"/>
  <c r="B61" i="22"/>
  <c r="B63" i="22" s="1"/>
  <c r="G19" i="16" s="1"/>
  <c r="B67" i="22"/>
  <c r="G21" i="16" s="1"/>
  <c r="B33" i="24"/>
  <c r="H12" i="16"/>
  <c r="B35" i="21"/>
  <c r="B61" i="19" l="1"/>
  <c r="D19" i="16" s="1"/>
  <c r="D17" i="16"/>
  <c r="E17" i="16"/>
  <c r="B61" i="20"/>
  <c r="E19" i="16" s="1"/>
  <c r="B36" i="21"/>
  <c r="B34" i="24"/>
  <c r="C25" i="21" l="1"/>
  <c r="J28" i="21" s="1"/>
  <c r="C23" i="21"/>
  <c r="D28" i="21" s="1"/>
  <c r="C24" i="21"/>
  <c r="G28" i="21" s="1"/>
  <c r="B35" i="24"/>
  <c r="B31" i="21" l="1"/>
  <c r="F18" i="16" s="1"/>
  <c r="B26" i="5"/>
  <c r="C25" i="5" s="1"/>
  <c r="B60" i="21" l="1"/>
  <c r="B62" i="21" s="1"/>
  <c r="B66" i="21"/>
  <c r="C24" i="5"/>
  <c r="C23" i="5"/>
  <c r="C26" i="5" l="1"/>
  <c r="C14" i="5"/>
  <c r="J18" i="5" s="1"/>
  <c r="C13" i="5"/>
  <c r="G18" i="5" s="1"/>
  <c r="C12" i="5"/>
  <c r="D18" i="5" s="1"/>
</calcChain>
</file>

<file path=xl/sharedStrings.xml><?xml version="1.0" encoding="utf-8"?>
<sst xmlns="http://schemas.openxmlformats.org/spreadsheetml/2006/main" count="1130" uniqueCount="433">
  <si>
    <t xml:space="preserve">Fendt et al </t>
  </si>
  <si>
    <t>wet biomass feed (beech wood) of</t>
  </si>
  <si>
    <t>0.75 kg/s with a lower heating value of 13,226 kJ/kg</t>
  </si>
  <si>
    <t>ref</t>
  </si>
  <si>
    <t>The default state for all educts is ambient condition (15 °C</t>
  </si>
  <si>
    <t>and 1 bar). Biomass compositions are taken from the Biobib</t>
  </si>
  <si>
    <t>database (Vienna University of Technology) [8]. Table 2</t>
  </si>
  <si>
    <t>shows the elementary composition of biomass used for the</t>
  </si>
  <si>
    <t>simulation (beech wood).</t>
  </si>
  <si>
    <t>The biomass further consists of 80 wt% volatiles and</t>
  </si>
  <si>
    <t>19.39 wt% bound carbon with a higher heating value of</t>
  </si>
  <si>
    <t>18,659 kJ/kg (dry). Moisture content of the untreated biomass</t>
  </si>
  <si>
    <t>is set to 20 wt%.</t>
  </si>
  <si>
    <t>you can calculate using stoichiometric reaction to determine max CH4 moles per mol of CnHmOk</t>
  </si>
  <si>
    <t>convert above table to moles and define n, m and k.</t>
  </si>
  <si>
    <t xml:space="preserve">use eq. 6.1 to determine max theoretical efficiency </t>
  </si>
  <si>
    <t>do the same for your PEFB and your moisture</t>
  </si>
  <si>
    <t>Tremel</t>
  </si>
  <si>
    <t>Van der Meijden</t>
  </si>
  <si>
    <t>Gassner</t>
  </si>
  <si>
    <t>Zhu, X., Venderbosch, R., 2005. A correlation between stoichiometrical ratio of fuel</t>
  </si>
  <si>
    <t>and its higher heating value. Fuel 84, 1007–1010.</t>
  </si>
  <si>
    <t>Channiwala, S.A., Parikh, P.P., 2001. A unified correlation for estimating HHV of</t>
  </si>
  <si>
    <t>solid, liquid and gaseous fuels. Fuel 81, 1051–1063.</t>
  </si>
  <si>
    <t>C</t>
  </si>
  <si>
    <t>H</t>
  </si>
  <si>
    <t>S</t>
  </si>
  <si>
    <t>O</t>
  </si>
  <si>
    <t>N</t>
  </si>
  <si>
    <t>Total</t>
  </si>
  <si>
    <t>wt.%</t>
  </si>
  <si>
    <t>Key in the value</t>
  </si>
  <si>
    <t>CnHmOk</t>
  </si>
  <si>
    <t>+</t>
  </si>
  <si>
    <t>a</t>
  </si>
  <si>
    <t>H2O</t>
  </si>
  <si>
    <t>→</t>
  </si>
  <si>
    <t>b</t>
  </si>
  <si>
    <t>CO2</t>
  </si>
  <si>
    <t>c</t>
  </si>
  <si>
    <t>CH4</t>
  </si>
  <si>
    <t>where,</t>
  </si>
  <si>
    <t>n</t>
  </si>
  <si>
    <t>m</t>
  </si>
  <si>
    <t>k</t>
  </si>
  <si>
    <t xml:space="preserve">By using matrices (Cramer's Rule), the contants value for: </t>
  </si>
  <si>
    <t>Thus,</t>
  </si>
  <si>
    <t>The calculation value for the reaction</t>
  </si>
  <si>
    <t>Reaction,</t>
  </si>
  <si>
    <t>In the reaction,</t>
  </si>
  <si>
    <t>no. of moles</t>
  </si>
  <si>
    <t>mol %</t>
  </si>
  <si>
    <t>LHV CH4</t>
  </si>
  <si>
    <t>HHV dry biomass (Chan)</t>
  </si>
  <si>
    <t>Elemental analysis (mf)</t>
  </si>
  <si>
    <t>LHV dry biomass (Lind)</t>
  </si>
  <si>
    <t>LHV wet biomass (Lind)</t>
  </si>
  <si>
    <t>LHV wet biomass (journal)</t>
  </si>
  <si>
    <t>Max CH4 yield</t>
  </si>
  <si>
    <t>Based on stoichiometry,</t>
  </si>
  <si>
    <t>kg/s</t>
  </si>
  <si>
    <t>MJ/kg or MW.s/kg</t>
  </si>
  <si>
    <t>Mass flowrate of CH4</t>
  </si>
  <si>
    <t>Biomass input, MW</t>
  </si>
  <si>
    <t>SNG output, MW</t>
  </si>
  <si>
    <t>kg/hr</t>
  </si>
  <si>
    <t>LHV dry biomass (journal)</t>
  </si>
  <si>
    <t>Based on Gassner M. et al. (2012)</t>
  </si>
  <si>
    <t>LHV wet biomass (journal+Lind)</t>
  </si>
  <si>
    <t>LHV dry biomass (journal+Lind)</t>
  </si>
  <si>
    <t>Key in the value (from journal)</t>
  </si>
  <si>
    <t>Based on Duret A. et al. (2005)</t>
  </si>
  <si>
    <t>re-calc. mol %</t>
  </si>
  <si>
    <t>mass, g</t>
  </si>
  <si>
    <t>Typical wood composition</t>
  </si>
  <si>
    <t>mol%</t>
  </si>
  <si>
    <t>Biomass</t>
  </si>
  <si>
    <t>Meijden (2013)</t>
  </si>
  <si>
    <t>Tremel (2013)</t>
  </si>
  <si>
    <t>Fendt (2012)</t>
  </si>
  <si>
    <t>Gassner (2009)</t>
  </si>
  <si>
    <t>Duret (2005)</t>
  </si>
  <si>
    <t>PEFB</t>
  </si>
  <si>
    <t>Spruce wood</t>
  </si>
  <si>
    <t>Beech wood</t>
  </si>
  <si>
    <t>Wood</t>
  </si>
  <si>
    <t>Moisture, wt%</t>
  </si>
  <si>
    <t>Elemental analysis, mf wt%</t>
  </si>
  <si>
    <t>i.C</t>
  </si>
  <si>
    <t>ii.H</t>
  </si>
  <si>
    <t>iii.O</t>
  </si>
  <si>
    <t>iv.N</t>
  </si>
  <si>
    <t>v.S</t>
  </si>
  <si>
    <t>n/a</t>
  </si>
  <si>
    <t>Duret</t>
  </si>
  <si>
    <t>Equation 6.1</t>
  </si>
  <si>
    <t>Theoretical CH4 production from biomass</t>
  </si>
  <si>
    <t>Based on van der Meijden C. M. et al. (2010)</t>
  </si>
  <si>
    <t>Ash (wt.%)</t>
  </si>
  <si>
    <t>Moisture</t>
  </si>
  <si>
    <t>Mass flowrate of wet biomass</t>
  </si>
  <si>
    <t>Mass flowrate of dry biomass</t>
  </si>
  <si>
    <t>MW</t>
  </si>
  <si>
    <t>H2</t>
  </si>
  <si>
    <t>N2</t>
  </si>
  <si>
    <t>LHV H2</t>
  </si>
  <si>
    <t>Mass flowrate of SNG</t>
  </si>
  <si>
    <t xml:space="preserve">(Eq 6.1) </t>
  </si>
  <si>
    <t>ɳbtf, % (MJ of CH4/ MJ of biomass)</t>
  </si>
  <si>
    <t>ɳbtf, % (MJ of max CH4/ MJ of biomass)</t>
  </si>
  <si>
    <t>CH4 output, MW</t>
  </si>
  <si>
    <t>Cl</t>
  </si>
  <si>
    <t>CO</t>
  </si>
  <si>
    <t>LHV SNG</t>
  </si>
  <si>
    <t>Composition of SNG</t>
  </si>
  <si>
    <t>Mass flowrate of wet biomass (journal)</t>
  </si>
  <si>
    <t>Mass flowrate of dry biomass (journal)</t>
  </si>
  <si>
    <t>*not been mentioned in the journal</t>
  </si>
  <si>
    <t>LHV CO</t>
  </si>
  <si>
    <t xml:space="preserve">LHV dry biomass (journal) </t>
  </si>
  <si>
    <t xml:space="preserve">LHV wet biomass  (journal+Lind) </t>
  </si>
  <si>
    <t>CH4 yield (dry biomass as basis)</t>
  </si>
  <si>
    <t xml:space="preserve">Mass flowrate of wet biomass </t>
  </si>
  <si>
    <t xml:space="preserve">Mass flowrate of dry biomass </t>
  </si>
  <si>
    <t>Max CH4 yield (dry biomass as basis)</t>
  </si>
  <si>
    <t xml:space="preserve">CH4 produced / max CH4 </t>
  </si>
  <si>
    <t>wt.% / wt.%</t>
  </si>
  <si>
    <t>vii.Ash</t>
  </si>
  <si>
    <t>vi.Cl</t>
  </si>
  <si>
    <r>
      <t>CH</t>
    </r>
    <r>
      <rPr>
        <vertAlign val="subscript"/>
        <sz val="12"/>
        <color theme="1"/>
        <rFont val="Arial"/>
        <family val="2"/>
      </rPr>
      <t>1.57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0.73</t>
    </r>
  </si>
  <si>
    <r>
      <t>CH</t>
    </r>
    <r>
      <rPr>
        <vertAlign val="subscript"/>
        <sz val="12"/>
        <color theme="1"/>
        <rFont val="Arial"/>
        <family val="2"/>
      </rPr>
      <t>1.34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0.63</t>
    </r>
  </si>
  <si>
    <r>
      <t>CH</t>
    </r>
    <r>
      <rPr>
        <vertAlign val="subscript"/>
        <sz val="12"/>
        <color theme="1"/>
        <rFont val="Arial"/>
        <family val="2"/>
      </rPr>
      <t>1.43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0.63</t>
    </r>
  </si>
  <si>
    <r>
      <t>CH</t>
    </r>
    <r>
      <rPr>
        <vertAlign val="subscript"/>
        <sz val="12"/>
        <color theme="1"/>
        <rFont val="Arial"/>
        <family val="2"/>
      </rPr>
      <t>1.50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0.65</t>
    </r>
  </si>
  <si>
    <r>
      <t>CH</t>
    </r>
    <r>
      <rPr>
        <vertAlign val="subscript"/>
        <sz val="12"/>
        <color theme="1"/>
        <rFont val="Arial"/>
        <family val="2"/>
      </rPr>
      <t>1.43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0.71</t>
    </r>
  </si>
  <si>
    <t>(a)</t>
  </si>
  <si>
    <t>(b)</t>
  </si>
  <si>
    <r>
      <t>CH</t>
    </r>
    <r>
      <rPr>
        <vertAlign val="subscript"/>
        <sz val="12"/>
        <color theme="1"/>
        <rFont val="Arial"/>
        <family val="2"/>
      </rPr>
      <t>1.57</t>
    </r>
    <r>
      <rPr>
        <sz val="12"/>
        <color theme="1"/>
        <rFont val="Arial"/>
        <family val="2"/>
      </rPr>
      <t>O</t>
    </r>
    <r>
      <rPr>
        <vertAlign val="subscript"/>
        <sz val="12"/>
        <color theme="1"/>
        <rFont val="Arial"/>
        <family val="2"/>
      </rPr>
      <t>0.59</t>
    </r>
  </si>
  <si>
    <t>Heating values, MJ/kg</t>
  </si>
  <si>
    <t>Based on Fendt S. et al. (2012)</t>
  </si>
  <si>
    <t>Based on Tremel A. et al. (2013)</t>
  </si>
  <si>
    <t>total biomass (g)</t>
  </si>
  <si>
    <t>LHV dry biomass (Lind+ Channiwala &amp; Parikh)</t>
  </si>
  <si>
    <t>HHV dry biomass (Channawala &amp; Parikh)</t>
  </si>
  <si>
    <t>LHV wet biomass (Lind+ Channiwala &amp; Parikh)</t>
  </si>
  <si>
    <t>efficiency of CH4 (produced / max CH4, wt.%/ wt.%)</t>
  </si>
  <si>
    <t xml:space="preserve">(Eq 6.2) </t>
  </si>
  <si>
    <t>Net power consumption, MW</t>
  </si>
  <si>
    <t>Net excess heat, MW</t>
  </si>
  <si>
    <t>ɳth, % (MW.s/kg of CH4/ MW.s/kg of biomass)</t>
  </si>
  <si>
    <t>ɳth, % (MW.s/kg of max CH4/ MW.s/kg of biomass)</t>
  </si>
  <si>
    <t>efficiency of ɳth (produced / max CH4, wt.%/ wt.%)</t>
  </si>
  <si>
    <t>Energy consumption</t>
  </si>
  <si>
    <t>Specific energy consumption</t>
  </si>
  <si>
    <t>MWh/ton</t>
  </si>
  <si>
    <t>MWs/kg</t>
  </si>
  <si>
    <t>Specific energy production</t>
  </si>
  <si>
    <t>Energy production</t>
  </si>
  <si>
    <t>Energy consumption, MW</t>
  </si>
  <si>
    <t>Energy production, MW</t>
  </si>
  <si>
    <t>*from the journal</t>
  </si>
  <si>
    <t>*71.2</t>
  </si>
  <si>
    <t>ɳbtf, % (MJ of SNG/ MJ of biomass)</t>
  </si>
  <si>
    <t>*91.0</t>
  </si>
  <si>
    <t>*from journal</t>
  </si>
  <si>
    <t>*same as journal</t>
  </si>
  <si>
    <t>n/a because there is no data provided in the journal</t>
  </si>
  <si>
    <t>N2+Ar</t>
  </si>
  <si>
    <t>ɳth, % (MW.s/kg of SNG/ MW.s/kg of biomass)</t>
  </si>
  <si>
    <t>ɳth, % (MW of SNG/ MW of biomass)</t>
  </si>
  <si>
    <t>*70.3</t>
  </si>
  <si>
    <t>theor. Stoich. Max. dry biomass</t>
  </si>
  <si>
    <t>aspen plus CH4 yield, wet biomass</t>
  </si>
  <si>
    <t>aspen plus bioSNG yield, wet biomass</t>
  </si>
  <si>
    <t>ɳbtf, % (MJ of max theor. CH4/ MJ of biomass)</t>
  </si>
  <si>
    <t>Maximum theoretical CH4 yield, wt.% of dry biomass</t>
  </si>
  <si>
    <t>ɳbtf, % (MJ of CH4/ MJ of biomass, Aspen Plus model)</t>
  </si>
  <si>
    <t>ɳbtf, % (MJ of bio-SNG/ MJ of biomass, Aspen Plus model)</t>
  </si>
  <si>
    <t>CH4 yield, wt.% of dry biomass (Aspen plus model)</t>
  </si>
  <si>
    <t>% efficiency of CH4 (produced, Aspen plus model / max theor. CH4, wt.%/ wt.%)</t>
  </si>
  <si>
    <t>using Eq 6.1</t>
  </si>
  <si>
    <t>using Eq 6.2</t>
  </si>
  <si>
    <t>Heating and cooling units</t>
  </si>
  <si>
    <t>Name</t>
  </si>
  <si>
    <t>COOL-106</t>
  </si>
  <si>
    <t>COOL-101</t>
  </si>
  <si>
    <t>COOL-107</t>
  </si>
  <si>
    <t>COOL-103</t>
  </si>
  <si>
    <t>COOL-104</t>
  </si>
  <si>
    <t>COOL-102</t>
  </si>
  <si>
    <t>HEAT-107</t>
  </si>
  <si>
    <t>HEAT-104</t>
  </si>
  <si>
    <t>HEAT-102</t>
  </si>
  <si>
    <t>HEAT-106</t>
  </si>
  <si>
    <t xml:space="preserve">Units </t>
  </si>
  <si>
    <t>Cal/s</t>
  </si>
  <si>
    <t>Calculated heat duty [cal/sec]</t>
  </si>
  <si>
    <t xml:space="preserve">kW </t>
  </si>
  <si>
    <t>Energy demand, kW</t>
  </si>
  <si>
    <t>Crushing</t>
  </si>
  <si>
    <t>Grinding</t>
  </si>
  <si>
    <t>Separation units</t>
  </si>
  <si>
    <t>Pump-Liquid Bio-Oil</t>
  </si>
  <si>
    <t>OILSEP</t>
  </si>
  <si>
    <t>WATERSEP</t>
  </si>
  <si>
    <t>FLASH</t>
  </si>
  <si>
    <t>Pump-Water feed in methanation unit</t>
  </si>
  <si>
    <t>Compressor- Non-condensable pyrolysis gases</t>
  </si>
  <si>
    <t>Heat duty [cal/sec]</t>
  </si>
  <si>
    <t>HPWS power consumption</t>
  </si>
  <si>
    <r>
      <t>Power consumption (P</t>
    </r>
    <r>
      <rPr>
        <vertAlign val="subscript"/>
        <sz val="11"/>
        <color theme="1"/>
        <rFont val="Calibri"/>
        <family val="2"/>
      </rPr>
      <t>el</t>
    </r>
    <r>
      <rPr>
        <vertAlign val="superscript"/>
        <sz val="11"/>
        <color theme="1"/>
        <rFont val="Calibri"/>
        <family val="2"/>
      </rPr>
      <t>+</t>
    </r>
    <r>
      <rPr>
        <sz val="11"/>
        <color theme="1"/>
        <rFont val="Calibri"/>
        <family val="2"/>
      </rPr>
      <t>)</t>
    </r>
  </si>
  <si>
    <r>
      <t>Power generation (P</t>
    </r>
    <r>
      <rPr>
        <vertAlign val="subscript"/>
        <sz val="11"/>
        <color theme="1"/>
        <rFont val="Calibri"/>
        <family val="2"/>
      </rPr>
      <t>el</t>
    </r>
    <r>
      <rPr>
        <vertAlign val="superscript"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>)</t>
    </r>
  </si>
  <si>
    <t>Net power consumption (Pel+- Pel-)</t>
  </si>
  <si>
    <t>Pumps units</t>
  </si>
  <si>
    <t>Cooling-After re-compression in HPWS unit</t>
  </si>
  <si>
    <t>PUMP-1</t>
  </si>
  <si>
    <t>PUMP-2</t>
  </si>
  <si>
    <t>PUMP-5</t>
  </si>
  <si>
    <t>Heating- Air for combustion</t>
  </si>
  <si>
    <t>Heating-Drying wet PEFB</t>
  </si>
  <si>
    <t>Net work required [kW]</t>
  </si>
  <si>
    <t>Cooling-After pyrolyzer</t>
  </si>
  <si>
    <t>Heating-Vaporized water for bio-oil</t>
  </si>
  <si>
    <t>Compressor unit</t>
  </si>
  <si>
    <t>Heating- Vaporized water for methanation</t>
  </si>
  <si>
    <t>COMP-1</t>
  </si>
  <si>
    <t>COMP-2</t>
  </si>
  <si>
    <t>Methanation</t>
  </si>
  <si>
    <t>Cooling-after methanation</t>
  </si>
  <si>
    <t>Σ of all excess heat rates (Q-)</t>
  </si>
  <si>
    <t>Σ of all heating demand rates (Q+)</t>
  </si>
  <si>
    <t>Ryield systems (DCOMPSR, DRYER-1 AND PYROL)</t>
  </si>
  <si>
    <t>Net excess heat rate (Q--Q+)</t>
  </si>
  <si>
    <t>DCOMPSR</t>
  </si>
  <si>
    <t>DRYER-1</t>
  </si>
  <si>
    <t>PYROL</t>
  </si>
  <si>
    <t>RGibbs Reactor units</t>
  </si>
  <si>
    <t>COMBSTR</t>
  </si>
  <si>
    <t>METHANE</t>
  </si>
  <si>
    <t>Crusher and Grinder units</t>
  </si>
  <si>
    <t>Calculated power [kW]</t>
  </si>
  <si>
    <t>Our work (b) heat integrated, Process 4</t>
  </si>
  <si>
    <t>Our work (a) without optimization</t>
  </si>
  <si>
    <t>Our work (a) before and (b) after heat integration</t>
  </si>
  <si>
    <t>this excel file which can be found at the DOI:</t>
  </si>
  <si>
    <t>is https://doi.org/10.5518/730 </t>
  </si>
  <si>
    <t>contains the associated data used to build up Table 8 of the Journal paper that can be downloaded (gold open access) at</t>
  </si>
  <si>
    <t>https://doi.org/10.1016/j.jclepro.2019.118737</t>
  </si>
  <si>
    <t>Bio-CH4 from palm empty fruit bunch via pyrolysis-direct methanation: Full plant model and experiments with bio-oil surrogate 10.1016/j.jclepro.2019.118737</t>
  </si>
  <si>
    <t>journal article title:</t>
  </si>
  <si>
    <t xml:space="preserve">Article reference: JCLP_118737 Journal title: Journal of Cleaner Production Article Number: 118737 </t>
  </si>
  <si>
    <t xml:space="preserve">Corresponding author: Dr. Valerie Dupont, First author: Dr. Hafizah Abdul Halim Yun, First published version available online: 7-OCT-2019  </t>
  </si>
  <si>
    <t>V.Dupont@leeds.ac.uk</t>
  </si>
  <si>
    <t>email</t>
  </si>
  <si>
    <t>Table 8 compares our results with those from other sources, list given below. Each worksheet corresponds to data derived from these sources and finally our work (cases (a) and (b).</t>
  </si>
  <si>
    <t>title</t>
  </si>
  <si>
    <t>Dataset associated with "Bio-CH4 from palm empty fruit bunch via pyrolysis-direct methanation: full plant model and experiments with bio-oil surrogate"</t>
  </si>
  <si>
    <t>alt_title</t>
  </si>
  <si>
    <t>id_number</t>
  </si>
  <si>
    <t>doi paper</t>
  </si>
  <si>
    <t>doi associated data</t>
  </si>
  <si>
    <t>https://doi.org/10.5518/730</t>
  </si>
  <si>
    <t>alt_identifier</t>
  </si>
  <si>
    <t>publisher</t>
  </si>
  <si>
    <t>University of Leeds</t>
  </si>
  <si>
    <t>creators.name^family</t>
  </si>
  <si>
    <t>Abdul Halim Yun</t>
  </si>
  <si>
    <t>Ramirez-Solis</t>
  </si>
  <si>
    <t>Dupont</t>
  </si>
  <si>
    <t>creators.name^given</t>
  </si>
  <si>
    <t>Hafizah</t>
  </si>
  <si>
    <t>Sergio</t>
  </si>
  <si>
    <t>Valerie</t>
  </si>
  <si>
    <t>creators.id</t>
  </si>
  <si>
    <t>https://orcid.org/0000-0003-1951-0724</t>
  </si>
  <si>
    <t>https://orcid.org/0000-0002-3750-0266</t>
  </si>
  <si>
    <t>creators.email</t>
  </si>
  <si>
    <t>creators.other_id</t>
  </si>
  <si>
    <t>creators.affiliation1</t>
  </si>
  <si>
    <t>University Of Leeds</t>
  </si>
  <si>
    <t>creators.affiliation1_id</t>
  </si>
  <si>
    <t>https://doi.org/10.13039/501100000777</t>
  </si>
  <si>
    <t>creators.affiliation1_type</t>
  </si>
  <si>
    <t>crossref</t>
  </si>
  <si>
    <t>creators.affiliation2</t>
  </si>
  <si>
    <t>creators.affiliation2_id</t>
  </si>
  <si>
    <t>creators.affiliation2_type</t>
  </si>
  <si>
    <t>date</t>
  </si>
  <si>
    <t>data_type</t>
  </si>
  <si>
    <t>dataset</t>
  </si>
  <si>
    <t>keywords</t>
  </si>
  <si>
    <t>Synthetic natural gas</t>
  </si>
  <si>
    <t>biomethane</t>
  </si>
  <si>
    <t>palm empty fruit bunch</t>
  </si>
  <si>
    <t>pyrolysis</t>
  </si>
  <si>
    <t>methanation</t>
  </si>
  <si>
    <t>acetic acid</t>
  </si>
  <si>
    <t>Nickel</t>
  </si>
  <si>
    <t>abstract</t>
  </si>
  <si>
    <t>contact_email</t>
  </si>
  <si>
    <t>sergio.leeds.uk@gmail.com</t>
  </si>
  <si>
    <t>contact</t>
  </si>
  <si>
    <t>subjects</t>
  </si>
  <si>
    <t>divisions</t>
  </si>
  <si>
    <t>SCAPE</t>
  </si>
  <si>
    <t>version</t>
  </si>
  <si>
    <t>corp_creators</t>
  </si>
  <si>
    <t>contributors.id</t>
  </si>
  <si>
    <t>contributors.email</t>
  </si>
  <si>
    <t>contributors.other_id</t>
  </si>
  <si>
    <t>contributors.name^family</t>
  </si>
  <si>
    <t>contributors.name^given</t>
  </si>
  <si>
    <t>contributors.type</t>
  </si>
  <si>
    <t>contributors.affiliation1</t>
  </si>
  <si>
    <t>contributors.affiliation1_id</t>
  </si>
  <si>
    <t>contributors.affiliation1_type</t>
  </si>
  <si>
    <t>contributors.affiliation2</t>
  </si>
  <si>
    <t>contributors.affiliation2_id</t>
  </si>
  <si>
    <t>contributors.affiliation2_type</t>
  </si>
  <si>
    <t>funders</t>
  </si>
  <si>
    <t>EPSRC</t>
  </si>
  <si>
    <t>grant</t>
  </si>
  <si>
    <t>EP/K000446/1</t>
  </si>
  <si>
    <t>EP/R030243/1</t>
  </si>
  <si>
    <t>projects</t>
  </si>
  <si>
    <t>collection_date.from</t>
  </si>
  <si>
    <t>collection_date.to</t>
  </si>
  <si>
    <t>legal_ethical</t>
  </si>
  <si>
    <t>provenance</t>
  </si>
  <si>
    <t>language</t>
  </si>
  <si>
    <t>en</t>
  </si>
  <si>
    <t>note</t>
  </si>
  <si>
    <t>related_resources.location</t>
  </si>
  <si>
    <t>http://eprints.whiterose.ac.uk/151870/</t>
  </si>
  <si>
    <t>related_resources.type</t>
  </si>
  <si>
    <t>publication</t>
  </si>
  <si>
    <t>copyright_holders</t>
  </si>
  <si>
    <t>suggestions</t>
  </si>
  <si>
    <t>metadata_language</t>
  </si>
  <si>
    <t>terms_conditions_agreement</t>
  </si>
  <si>
    <t>citation</t>
  </si>
  <si>
    <t>license</t>
  </si>
  <si>
    <t>cc_by_v4_0</t>
  </si>
  <si>
    <t>data_location</t>
  </si>
  <si>
    <t>restrictions</t>
  </si>
  <si>
    <t>temporal_cover.from</t>
  </si>
  <si>
    <t>temporal_cover.to</t>
  </si>
  <si>
    <t>geographic_cover</t>
  </si>
  <si>
    <t>bounding_box.east_edge</t>
  </si>
  <si>
    <t>bounding_box.north_edge</t>
  </si>
  <si>
    <t>bounding_box.south_edge</t>
  </si>
  <si>
    <t>bounding_box.west_edge</t>
  </si>
  <si>
    <t>collection_method</t>
  </si>
  <si>
    <t>retention_date</t>
  </si>
  <si>
    <t>retention_action</t>
  </si>
  <si>
    <t>retention_comment</t>
  </si>
  <si>
    <t>collection.name</t>
  </si>
  <si>
    <t>collection.id</t>
  </si>
  <si>
    <t>collection.subcollection</t>
  </si>
  <si>
    <t>record_type</t>
  </si>
  <si>
    <t>repository</t>
  </si>
  <si>
    <t>Title</t>
  </si>
  <si>
    <t>Alternative title</t>
  </si>
  <si>
    <t>Identifier number</t>
  </si>
  <si>
    <t>DOI</t>
  </si>
  <si>
    <t>Alternative identifier</t>
  </si>
  <si>
    <t>Publisher</t>
  </si>
  <si>
    <t>Creator family name</t>
  </si>
  <si>
    <t>Creator first name</t>
  </si>
  <si>
    <t>Creator ORCID</t>
  </si>
  <si>
    <t>Creator email</t>
  </si>
  <si>
    <t>Creator other ID</t>
  </si>
  <si>
    <t>Creator affiliation</t>
  </si>
  <si>
    <t>Creator affiliation id</t>
  </si>
  <si>
    <t>Creator affiliation type</t>
  </si>
  <si>
    <t>Creator secondary affiliation</t>
  </si>
  <si>
    <t>Creator secondary affiliation id</t>
  </si>
  <si>
    <t>Creator secondary affiliation type</t>
  </si>
  <si>
    <t>Publication date</t>
  </si>
  <si>
    <t>Type of data</t>
  </si>
  <si>
    <t>Keywords</t>
  </si>
  <si>
    <t>Dataset description</t>
  </si>
  <si>
    <t>Contact email address</t>
  </si>
  <si>
    <t>Contact name</t>
  </si>
  <si>
    <t>Subjects</t>
  </si>
  <si>
    <t>Divisions</t>
  </si>
  <si>
    <t>Version</t>
  </si>
  <si>
    <t>Corporate creators</t>
  </si>
  <si>
    <t>Contributor ORCID</t>
  </si>
  <si>
    <t>Contributor email</t>
  </si>
  <si>
    <t>Contributor other ID</t>
  </si>
  <si>
    <t>Contributor family name</t>
  </si>
  <si>
    <t>Contributor first name</t>
  </si>
  <si>
    <t>Contributor type</t>
  </si>
  <si>
    <t>Contributor affiliation</t>
  </si>
  <si>
    <t>Contributor affiliation id</t>
  </si>
  <si>
    <t>Contributor affiliation type</t>
  </si>
  <si>
    <t>Contributor secondary affiliation</t>
  </si>
  <si>
    <t>Contributor secondary affiliation id</t>
  </si>
  <si>
    <t>Contributor secondary affiliation type</t>
  </si>
  <si>
    <t>Research funders</t>
  </si>
  <si>
    <t>Grant number</t>
  </si>
  <si>
    <t>Research project title</t>
  </si>
  <si>
    <t>Collection start date</t>
  </si>
  <si>
    <t>Collection end date</t>
  </si>
  <si>
    <t>Legal and ethical issues</t>
  </si>
  <si>
    <t>Provenance or lineage</t>
  </si>
  <si>
    <t>Resource language</t>
  </si>
  <si>
    <t>Additional information</t>
  </si>
  <si>
    <t>Related resouce location</t>
  </si>
  <si>
    <t>Related resource type</t>
  </si>
  <si>
    <t>Copyright holders</t>
  </si>
  <si>
    <t>Administrative note</t>
  </si>
  <si>
    <t>Metadata language</t>
  </si>
  <si>
    <t>Deposit agreement</t>
  </si>
  <si>
    <t>Citation</t>
  </si>
  <si>
    <t>License</t>
  </si>
  <si>
    <t>Data location</t>
  </si>
  <si>
    <t>Restrictions on use</t>
  </si>
  <si>
    <t>Temporal cover start</t>
  </si>
  <si>
    <t>Temporal cover end</t>
  </si>
  <si>
    <t>Geographic coverage</t>
  </si>
  <si>
    <t>Bounding box East longitude</t>
  </si>
  <si>
    <t>Bounding box North latitude</t>
  </si>
  <si>
    <t>Bounding box South latitude</t>
  </si>
  <si>
    <t>Bounding box West longitude</t>
  </si>
  <si>
    <t>Data collection method</t>
  </si>
  <si>
    <t>Retention date</t>
  </si>
  <si>
    <t>Retention action</t>
  </si>
  <si>
    <t>Retention comment</t>
  </si>
  <si>
    <t>Collection name</t>
  </si>
  <si>
    <t>Collection ID</t>
  </si>
  <si>
    <t>Subcollection name</t>
  </si>
  <si>
    <t>Record type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</si>
</sst>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0000"/>
    <numFmt numFmtId="165" formatCode="0.0000"/>
    <numFmt numFmtId="166" formatCode="0.0"/>
    <numFmt numFmtId="167" formatCode="0.000"/>
  </numFmts>
  <fonts count="17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0"/>
      <color rgb="FF3F3F76"/>
      <name val="Arial"/>
      <family val="2"/>
    </font>
    <font>
      <sz val="12"/>
      <color rgb="FF3F3F76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vertAlign val="subscript"/>
      <sz val="12"/>
      <color theme="1"/>
      <name val="Arial"/>
      <family val="2"/>
    </font>
    <font>
      <b/>
      <sz val="14"/>
      <color theme="1"/>
      <name val="Arial"/>
      <family val="2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</font>
    <font>
      <vertAlign val="superscript"/>
      <sz val="11"/>
      <color theme="1"/>
      <name val="Calibri"/>
      <family val="2"/>
    </font>
    <font>
      <b/>
      <sz val="10"/>
      <color theme="1"/>
      <name val="Arial"/>
      <family val="2"/>
    </font>
    <font>
      <sz val="14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b/>
      <sz val="14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0" fontId="2" fillId="2" borderId="1" applyNumberFormat="0" applyAlignment="0" applyProtection="0"/>
    <xf numFmtId="0" fontId="15" fillId="0" borderId="0" applyNumberFormat="0" applyFill="0" applyBorder="0" applyAlignment="0" applyProtection="0"/>
  </cellStyleXfs>
  <cellXfs count="60">
    <xf numFmtId="0" fontId="0" fillId="0" borderId="0" xfId="0"/>
    <xf numFmtId="2" fontId="0" fillId="0" borderId="0" xfId="0" applyNumberFormat="1"/>
    <xf numFmtId="165" fontId="0" fillId="0" borderId="0" xfId="0" applyNumberFormat="1"/>
    <xf numFmtId="0" fontId="1" fillId="0" borderId="0" xfId="0" applyFont="1"/>
    <xf numFmtId="0" fontId="1" fillId="3" borderId="3" xfId="0" applyFont="1" applyFill="1" applyBorder="1"/>
    <xf numFmtId="0" fontId="1" fillId="0" borderId="0" xfId="0" applyFont="1" applyAlignment="1">
      <alignment horizontal="center"/>
    </xf>
    <xf numFmtId="164" fontId="1" fillId="3" borderId="3" xfId="0" applyNumberFormat="1" applyFont="1" applyFill="1" applyBorder="1"/>
    <xf numFmtId="164" fontId="1" fillId="3" borderId="4" xfId="0" applyNumberFormat="1" applyFont="1" applyFill="1" applyBorder="1"/>
    <xf numFmtId="164" fontId="1" fillId="3" borderId="3" xfId="0" applyNumberFormat="1" applyFont="1" applyFill="1" applyBorder="1" applyAlignment="1">
      <alignment horizontal="center"/>
    </xf>
    <xf numFmtId="1" fontId="0" fillId="0" borderId="0" xfId="0" applyNumberFormat="1"/>
    <xf numFmtId="0" fontId="0" fillId="0" borderId="0" xfId="0" applyFont="1"/>
    <xf numFmtId="2" fontId="1" fillId="0" borderId="0" xfId="0" applyNumberFormat="1" applyFont="1"/>
    <xf numFmtId="0" fontId="0" fillId="4" borderId="0" xfId="0" applyFill="1"/>
    <xf numFmtId="164" fontId="1" fillId="5" borderId="0" xfId="0" applyNumberFormat="1" applyFont="1" applyFill="1" applyBorder="1"/>
    <xf numFmtId="0" fontId="1" fillId="5" borderId="0" xfId="0" applyFont="1" applyFill="1" applyAlignment="1">
      <alignment horizontal="center"/>
    </xf>
    <xf numFmtId="164" fontId="1" fillId="5" borderId="0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 applyFill="1"/>
    <xf numFmtId="2" fontId="1" fillId="6" borderId="0" xfId="0" applyNumberFormat="1" applyFont="1" applyFill="1"/>
    <xf numFmtId="164" fontId="4" fillId="6" borderId="0" xfId="1" applyNumberFormat="1" applyFont="1" applyFill="1" applyBorder="1"/>
    <xf numFmtId="0" fontId="5" fillId="0" borderId="0" xfId="0" applyFont="1"/>
    <xf numFmtId="165" fontId="5" fillId="0" borderId="0" xfId="0" applyNumberFormat="1" applyFont="1"/>
    <xf numFmtId="2" fontId="5" fillId="0" borderId="0" xfId="0" applyNumberFormat="1" applyFont="1"/>
    <xf numFmtId="165" fontId="0" fillId="4" borderId="0" xfId="0" applyNumberFormat="1" applyFill="1"/>
    <xf numFmtId="0" fontId="3" fillId="4" borderId="2" xfId="1" applyFont="1" applyFill="1" applyBorder="1"/>
    <xf numFmtId="0" fontId="1" fillId="4" borderId="0" xfId="0" applyFont="1" applyFill="1"/>
    <xf numFmtId="164" fontId="3" fillId="7" borderId="1" xfId="1" applyNumberFormat="1" applyFont="1" applyFill="1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0" fillId="0" borderId="0" xfId="0" applyNumberFormat="1"/>
    <xf numFmtId="166" fontId="0" fillId="4" borderId="0" xfId="0" applyNumberFormat="1" applyFill="1"/>
    <xf numFmtId="166" fontId="5" fillId="4" borderId="0" xfId="0" applyNumberFormat="1" applyFont="1" applyFill="1"/>
    <xf numFmtId="165" fontId="5" fillId="4" borderId="0" xfId="0" applyNumberFormat="1" applyFont="1" applyFill="1"/>
    <xf numFmtId="166" fontId="5" fillId="0" borderId="0" xfId="0" applyNumberFormat="1" applyFont="1"/>
    <xf numFmtId="0" fontId="0" fillId="0" borderId="0" xfId="0" applyFill="1"/>
    <xf numFmtId="166" fontId="0" fillId="0" borderId="0" xfId="0" applyNumberFormat="1" applyFill="1"/>
    <xf numFmtId="166" fontId="0" fillId="0" borderId="0" xfId="0" applyNumberFormat="1" applyAlignment="1">
      <alignment horizontal="center"/>
    </xf>
    <xf numFmtId="167" fontId="0" fillId="0" borderId="0" xfId="0" applyNumberFormat="1"/>
    <xf numFmtId="0" fontId="5" fillId="0" borderId="0" xfId="0" applyFont="1" applyFill="1"/>
    <xf numFmtId="0" fontId="0" fillId="0" borderId="0" xfId="0" applyAlignment="1">
      <alignment wrapText="1"/>
    </xf>
    <xf numFmtId="0" fontId="0" fillId="0" borderId="5" xfId="0" applyBorder="1"/>
    <xf numFmtId="0" fontId="0" fillId="0" borderId="5" xfId="0" applyBorder="1" applyAlignment="1">
      <alignment horizontal="center"/>
    </xf>
    <xf numFmtId="0" fontId="8" fillId="0" borderId="5" xfId="0" applyFont="1" applyBorder="1" applyAlignment="1">
      <alignment vertical="center" wrapText="1"/>
    </xf>
    <xf numFmtId="0" fontId="9" fillId="0" borderId="5" xfId="0" applyFont="1" applyBorder="1" applyAlignment="1">
      <alignment vertical="center" wrapText="1"/>
    </xf>
    <xf numFmtId="17" fontId="0" fillId="0" borderId="5" xfId="0" applyNumberFormat="1" applyBorder="1"/>
    <xf numFmtId="0" fontId="12" fillId="0" borderId="5" xfId="0" applyFont="1" applyBorder="1"/>
    <xf numFmtId="0" fontId="13" fillId="0" borderId="0" xfId="0" applyFont="1" applyBorder="1" applyAlignment="1"/>
    <xf numFmtId="0" fontId="0" fillId="0" borderId="5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6" xfId="0" applyBorder="1"/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/>
    </xf>
    <xf numFmtId="2" fontId="0" fillId="0" borderId="0" xfId="0" applyNumberFormat="1" applyFill="1" applyAlignment="1">
      <alignment horizontal="center"/>
    </xf>
    <xf numFmtId="0" fontId="15" fillId="0" borderId="0" xfId="2"/>
    <xf numFmtId="0" fontId="0" fillId="0" borderId="0" xfId="2" applyFont="1"/>
    <xf numFmtId="0" fontId="16" fillId="0" borderId="0" xfId="0" applyFont="1" applyAlignment="1">
      <alignment vertical="center"/>
    </xf>
    <xf numFmtId="0" fontId="14" fillId="0" borderId="0" xfId="0" applyFont="1"/>
    <xf numFmtId="0" fontId="7" fillId="0" borderId="5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</cellXfs>
  <cellStyles count="3">
    <cellStyle name="Hyperlink" xfId="2" builtinId="8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4" Type="http://schemas.openxmlformats.org/officeDocument/2006/relationships/image" Target="../media/image15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emf"/><Relationship Id="rId2" Type="http://schemas.openxmlformats.org/officeDocument/2006/relationships/image" Target="../media/image18.emf"/><Relationship Id="rId1" Type="http://schemas.openxmlformats.org/officeDocument/2006/relationships/image" Target="../media/image17.emf"/><Relationship Id="rId5" Type="http://schemas.openxmlformats.org/officeDocument/2006/relationships/image" Target="../media/image2.emf"/><Relationship Id="rId4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641350</xdr:colOff>
      <xdr:row>26</xdr:row>
      <xdr:rowOff>101599</xdr:rowOff>
    </xdr:from>
    <xdr:to>
      <xdr:col>9</xdr:col>
      <xdr:colOff>654050</xdr:colOff>
      <xdr:row>35</xdr:row>
      <xdr:rowOff>44000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9844" t="47566" r="1402" b="6909"/>
        <a:stretch/>
      </xdr:blipFill>
      <xdr:spPr>
        <a:xfrm>
          <a:off x="2165350" y="2660649"/>
          <a:ext cx="5346700" cy="171405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9</xdr:col>
      <xdr:colOff>533400</xdr:colOff>
      <xdr:row>41</xdr:row>
      <xdr:rowOff>50800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4921250"/>
          <a:ext cx="5105400" cy="44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50800</xdr:colOff>
      <xdr:row>46</xdr:row>
      <xdr:rowOff>163308</xdr:rowOff>
    </xdr:from>
    <xdr:to>
      <xdr:col>9</xdr:col>
      <xdr:colOff>342900</xdr:colOff>
      <xdr:row>55</xdr:row>
      <xdr:rowOff>101599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7311" t="40021" r="8688" b="28857"/>
        <a:stretch/>
      </xdr:blipFill>
      <xdr:spPr>
        <a:xfrm>
          <a:off x="1574800" y="6659358"/>
          <a:ext cx="5626100" cy="1709941"/>
        </a:xfrm>
        <a:prstGeom prst="rect">
          <a:avLst/>
        </a:prstGeom>
      </xdr:spPr>
    </xdr:pic>
    <xdr:clientData/>
  </xdr:twoCellAnchor>
  <xdr:twoCellAnchor editAs="oneCell">
    <xdr:from>
      <xdr:col>2</xdr:col>
      <xdr:colOff>450850</xdr:colOff>
      <xdr:row>58</xdr:row>
      <xdr:rowOff>31750</xdr:rowOff>
    </xdr:from>
    <xdr:to>
      <xdr:col>8</xdr:col>
      <xdr:colOff>635000</xdr:colOff>
      <xdr:row>73</xdr:row>
      <xdr:rowOff>133350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7549" t="24272" r="22650" b="14282"/>
        <a:stretch/>
      </xdr:blipFill>
      <xdr:spPr>
        <a:xfrm>
          <a:off x="1974850" y="8890000"/>
          <a:ext cx="4756150" cy="3054350"/>
        </a:xfrm>
        <a:prstGeom prst="rect">
          <a:avLst/>
        </a:prstGeom>
      </xdr:spPr>
    </xdr:pic>
    <xdr:clientData/>
  </xdr:twoCellAnchor>
  <xdr:twoCellAnchor editAs="oneCell">
    <xdr:from>
      <xdr:col>2</xdr:col>
      <xdr:colOff>450850</xdr:colOff>
      <xdr:row>75</xdr:row>
      <xdr:rowOff>107950</xdr:rowOff>
    </xdr:from>
    <xdr:to>
      <xdr:col>9</xdr:col>
      <xdr:colOff>2570</xdr:colOff>
      <xdr:row>86</xdr:row>
      <xdr:rowOff>19049</xdr:rowOff>
    </xdr:to>
    <xdr:pic>
      <xdr:nvPicPr>
        <xdr:cNvPr id="6" name="Picture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34209" t="46066" r="4582" b="12116"/>
        <a:stretch/>
      </xdr:blipFill>
      <xdr:spPr>
        <a:xfrm>
          <a:off x="1974850" y="12312650"/>
          <a:ext cx="4862860" cy="2076449"/>
        </a:xfrm>
        <a:prstGeom prst="rect">
          <a:avLst/>
        </a:prstGeom>
      </xdr:spPr>
    </xdr:pic>
    <xdr:clientData/>
  </xdr:twoCellAnchor>
  <xdr:twoCellAnchor editAs="oneCell">
    <xdr:from>
      <xdr:col>0</xdr:col>
      <xdr:colOff>177800</xdr:colOff>
      <xdr:row>96</xdr:row>
      <xdr:rowOff>146050</xdr:rowOff>
    </xdr:from>
    <xdr:to>
      <xdr:col>12</xdr:col>
      <xdr:colOff>43720</xdr:colOff>
      <xdr:row>124</xdr:row>
      <xdr:rowOff>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7800" y="15957550"/>
          <a:ext cx="9009920" cy="5187950"/>
        </a:xfrm>
        <a:prstGeom prst="rect">
          <a:avLst/>
        </a:prstGeom>
      </xdr:spPr>
    </xdr:pic>
    <xdr:clientData/>
  </xdr:twoCellAnchor>
  <xdr:twoCellAnchor editAs="oneCell">
    <xdr:from>
      <xdr:col>2</xdr:col>
      <xdr:colOff>417739</xdr:colOff>
      <xdr:row>88</xdr:row>
      <xdr:rowOff>57150</xdr:rowOff>
    </xdr:from>
    <xdr:to>
      <xdr:col>14</xdr:col>
      <xdr:colOff>152400</xdr:colOff>
      <xdr:row>92</xdr:row>
      <xdr:rowOff>142875</xdr:rowOff>
    </xdr:to>
    <xdr:pic>
      <xdr:nvPicPr>
        <xdr:cNvPr id="8" name="Picture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1739" y="14344650"/>
          <a:ext cx="8878661" cy="847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523875</xdr:colOff>
      <xdr:row>20</xdr:row>
      <xdr:rowOff>57150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190500"/>
          <a:ext cx="7381875" cy="3676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19</xdr:col>
      <xdr:colOff>485775</xdr:colOff>
      <xdr:row>31</xdr:row>
      <xdr:rowOff>1753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0" y="4572000"/>
          <a:ext cx="5057775" cy="13352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0</xdr:colOff>
      <xdr:row>23</xdr:row>
      <xdr:rowOff>1</xdr:rowOff>
    </xdr:from>
    <xdr:to>
      <xdr:col>16</xdr:col>
      <xdr:colOff>28575</xdr:colOff>
      <xdr:row>24</xdr:row>
      <xdr:rowOff>51725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049000" y="4381501"/>
          <a:ext cx="2314575" cy="242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43</xdr:row>
      <xdr:rowOff>104775</xdr:rowOff>
    </xdr:from>
    <xdr:to>
      <xdr:col>4</xdr:col>
      <xdr:colOff>352425</xdr:colOff>
      <xdr:row>43</xdr:row>
      <xdr:rowOff>104775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CxnSpPr/>
      </xdr:nvCxnSpPr>
      <xdr:spPr>
        <a:xfrm flipH="1">
          <a:off x="1809750" y="676275"/>
          <a:ext cx="271462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0</xdr:colOff>
      <xdr:row>51</xdr:row>
      <xdr:rowOff>0</xdr:rowOff>
    </xdr:from>
    <xdr:to>
      <xdr:col>13</xdr:col>
      <xdr:colOff>664023</xdr:colOff>
      <xdr:row>62</xdr:row>
      <xdr:rowOff>142875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9715500"/>
          <a:ext cx="5236023" cy="2238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43</xdr:row>
      <xdr:rowOff>104775</xdr:rowOff>
    </xdr:from>
    <xdr:to>
      <xdr:col>4</xdr:col>
      <xdr:colOff>352425</xdr:colOff>
      <xdr:row>43</xdr:row>
      <xdr:rowOff>104775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CxnSpPr/>
      </xdr:nvCxnSpPr>
      <xdr:spPr>
        <a:xfrm flipH="1">
          <a:off x="4133850" y="8867775"/>
          <a:ext cx="25812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28576</xdr:colOff>
      <xdr:row>51</xdr:row>
      <xdr:rowOff>19050</xdr:rowOff>
    </xdr:from>
    <xdr:to>
      <xdr:col>12</xdr:col>
      <xdr:colOff>172674</xdr:colOff>
      <xdr:row>70</xdr:row>
      <xdr:rowOff>142875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77276" y="9734550"/>
          <a:ext cx="3954098" cy="3743325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71</xdr:row>
      <xdr:rowOff>9525</xdr:rowOff>
    </xdr:from>
    <xdr:to>
      <xdr:col>12</xdr:col>
      <xdr:colOff>590550</xdr:colOff>
      <xdr:row>72</xdr:row>
      <xdr:rowOff>57120</xdr:rowOff>
    </xdr:to>
    <xdr:grpSp>
      <xdr:nvGrpSpPr>
        <xdr:cNvPr id="6" name="Group 5">
          <a:extLst>
            <a:ext uri="{FF2B5EF4-FFF2-40B4-BE49-F238E27FC236}">
              <a16:creationId xmlns="" xmlns:a16="http://schemas.microsoft.com/office/drawing/2014/main" id="{00000000-0008-0000-0300-000006000000}"/>
            </a:ext>
          </a:extLst>
        </xdr:cNvPr>
        <xdr:cNvGrpSpPr/>
      </xdr:nvGrpSpPr>
      <xdr:grpSpPr>
        <a:xfrm>
          <a:off x="8121015" y="13535025"/>
          <a:ext cx="4512945" cy="238095"/>
          <a:chOff x="8648700" y="13525500"/>
          <a:chExt cx="4695825" cy="238095"/>
        </a:xfrm>
      </xdr:grpSpPr>
      <xdr:pic>
        <xdr:nvPicPr>
          <xdr:cNvPr id="4" name="Picture 3">
            <a:extLst>
              <a:ext uri="{FF2B5EF4-FFF2-40B4-BE49-F238E27FC236}">
                <a16:creationId xmlns="" xmlns:a16="http://schemas.microsoft.com/office/drawing/2014/main" id="{00000000-0008-0000-03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8648700" y="13525500"/>
            <a:ext cx="4438096" cy="238095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="" xmlns:a16="http://schemas.microsoft.com/office/drawing/2014/main" id="{00000000-0008-0000-0300-000005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2973050" y="13554075"/>
            <a:ext cx="371475" cy="2000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oneCell">
    <xdr:from>
      <xdr:col>12</xdr:col>
      <xdr:colOff>400050</xdr:colOff>
      <xdr:row>50</xdr:row>
      <xdr:rowOff>171450</xdr:rowOff>
    </xdr:from>
    <xdr:to>
      <xdr:col>24</xdr:col>
      <xdr:colOff>123825</xdr:colOff>
      <xdr:row>61</xdr:row>
      <xdr:rowOff>114300</xdr:rowOff>
    </xdr:to>
    <xdr:pic>
      <xdr:nvPicPr>
        <xdr:cNvPr id="7" name="Picture 6">
          <a:extLst>
            <a:ext uri="{FF2B5EF4-FFF2-40B4-BE49-F238E27FC236}">
              <a16:creationId xmlns=""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9696450"/>
          <a:ext cx="886777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44</xdr:row>
      <xdr:rowOff>104775</xdr:rowOff>
    </xdr:from>
    <xdr:to>
      <xdr:col>4</xdr:col>
      <xdr:colOff>352425</xdr:colOff>
      <xdr:row>44</xdr:row>
      <xdr:rowOff>104775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CxnSpPr/>
      </xdr:nvCxnSpPr>
      <xdr:spPr>
        <a:xfrm flipH="1">
          <a:off x="4133850" y="8867775"/>
          <a:ext cx="25812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43</xdr:row>
      <xdr:rowOff>104775</xdr:rowOff>
    </xdr:from>
    <xdr:to>
      <xdr:col>4</xdr:col>
      <xdr:colOff>352425</xdr:colOff>
      <xdr:row>43</xdr:row>
      <xdr:rowOff>104775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CxnSpPr/>
      </xdr:nvCxnSpPr>
      <xdr:spPr>
        <a:xfrm flipH="1">
          <a:off x="4133850" y="8867775"/>
          <a:ext cx="2581275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180975</xdr:colOff>
      <xdr:row>3</xdr:row>
      <xdr:rowOff>104775</xdr:rowOff>
    </xdr:from>
    <xdr:to>
      <xdr:col>4</xdr:col>
      <xdr:colOff>352425</xdr:colOff>
      <xdr:row>3</xdr:row>
      <xdr:rowOff>104775</xdr:rowOff>
    </xdr:to>
    <xdr:cxnSp macro="">
      <xdr:nvCxnSpPr>
        <xdr:cNvPr id="2" name="Straight Arrow Connector 1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CxnSpPr/>
      </xdr:nvCxnSpPr>
      <xdr:spPr>
        <a:xfrm flipH="1">
          <a:off x="3457575" y="676275"/>
          <a:ext cx="2914650" cy="0"/>
        </a:xfrm>
        <a:prstGeom prst="straightConnector1">
          <a:avLst/>
        </a:prstGeom>
        <a:ln w="19050">
          <a:tailEnd type="arrow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9525</xdr:colOff>
      <xdr:row>26</xdr:row>
      <xdr:rowOff>82498</xdr:rowOff>
    </xdr:from>
    <xdr:to>
      <xdr:col>19</xdr:col>
      <xdr:colOff>897</xdr:colOff>
      <xdr:row>61</xdr:row>
      <xdr:rowOff>76200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0" y="5606998"/>
          <a:ext cx="4543425" cy="66612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12536</xdr:colOff>
      <xdr:row>14</xdr:row>
      <xdr:rowOff>0</xdr:rowOff>
    </xdr:from>
    <xdr:to>
      <xdr:col>19</xdr:col>
      <xdr:colOff>123825</xdr:colOff>
      <xdr:row>26</xdr:row>
      <xdr:rowOff>185270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6511" y="3028950"/>
          <a:ext cx="4683289" cy="2667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733426</xdr:colOff>
      <xdr:row>0</xdr:row>
      <xdr:rowOff>152400</xdr:rowOff>
    </xdr:from>
    <xdr:to>
      <xdr:col>20</xdr:col>
      <xdr:colOff>9526</xdr:colOff>
      <xdr:row>13</xdr:row>
      <xdr:rowOff>20143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25401" y="152400"/>
          <a:ext cx="5372100" cy="26890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66675</xdr:colOff>
      <xdr:row>1</xdr:row>
      <xdr:rowOff>9525</xdr:rowOff>
    </xdr:from>
    <xdr:to>
      <xdr:col>28</xdr:col>
      <xdr:colOff>76200</xdr:colOff>
      <xdr:row>8</xdr:row>
      <xdr:rowOff>76200</xdr:rowOff>
    </xdr:to>
    <xdr:pic>
      <xdr:nvPicPr>
        <xdr:cNvPr id="5" name="Picture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23363" t="58229" r="17330" b="16066"/>
        <a:stretch/>
      </xdr:blipFill>
      <xdr:spPr>
        <a:xfrm>
          <a:off x="18916650" y="200025"/>
          <a:ext cx="5343525" cy="140017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76200</xdr:colOff>
          <xdr:row>15</xdr:row>
          <xdr:rowOff>0</xdr:rowOff>
        </xdr:from>
        <xdr:to>
          <xdr:col>27</xdr:col>
          <xdr:colOff>472440</xdr:colOff>
          <xdr:row>16</xdr:row>
          <xdr:rowOff>129540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="" xmlns:a16="http://schemas.microsoft.com/office/drawing/2014/main" id="{00000000-0008-0000-0A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20</xdr:col>
      <xdr:colOff>733425</xdr:colOff>
      <xdr:row>28</xdr:row>
      <xdr:rowOff>47625</xdr:rowOff>
    </xdr:from>
    <xdr:to>
      <xdr:col>30</xdr:col>
      <xdr:colOff>476251</xdr:colOff>
      <xdr:row>31</xdr:row>
      <xdr:rowOff>98851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A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1400" y="5953125"/>
          <a:ext cx="7362826" cy="6227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6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V.Dupont@leeds.ac.uk" TargetMode="External"/><Relationship Id="rId2" Type="http://schemas.openxmlformats.org/officeDocument/2006/relationships/hyperlink" Target="https://doi.org/10.1016/j.jclepro.2019.118737" TargetMode="External"/><Relationship Id="rId1" Type="http://schemas.openxmlformats.org/officeDocument/2006/relationships/hyperlink" Target="https://doi.org/10.5518/xxx" TargetMode="External"/><Relationship Id="rId4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9"/>
  <sheetViews>
    <sheetView topLeftCell="A61" workbookViewId="0">
      <selection activeCell="C83" sqref="C83"/>
    </sheetView>
  </sheetViews>
  <sheetFormatPr defaultRowHeight="15" x14ac:dyDescent="0.25"/>
  <cols>
    <col min="1" max="1" width="30.453125" bestFit="1" customWidth="1"/>
    <col min="2" max="2" width="24.08984375" bestFit="1" customWidth="1"/>
    <col min="3" max="3" width="123" bestFit="1" customWidth="1"/>
    <col min="4" max="5" width="32.36328125" bestFit="1" customWidth="1"/>
    <col min="6" max="6" width="7.81640625" bestFit="1" customWidth="1"/>
    <col min="7" max="7" width="10.453125" bestFit="1" customWidth="1"/>
    <col min="8" max="8" width="9.36328125" bestFit="1" customWidth="1"/>
    <col min="9" max="9" width="5.54296875" bestFit="1" customWidth="1"/>
  </cols>
  <sheetData>
    <row r="1" spans="1:5" x14ac:dyDescent="0.25">
      <c r="A1" s="59"/>
    </row>
    <row r="6" spans="1:5" x14ac:dyDescent="0.25">
      <c r="A6" t="s">
        <v>360</v>
      </c>
      <c r="B6" t="s">
        <v>254</v>
      </c>
      <c r="C6" t="s">
        <v>255</v>
      </c>
    </row>
    <row r="7" spans="1:5" x14ac:dyDescent="0.25">
      <c r="A7" t="s">
        <v>361</v>
      </c>
      <c r="B7" t="s">
        <v>256</v>
      </c>
    </row>
    <row r="8" spans="1:5" x14ac:dyDescent="0.25">
      <c r="A8" t="s">
        <v>362</v>
      </c>
      <c r="B8" t="s">
        <v>257</v>
      </c>
    </row>
    <row r="9" spans="1:5" x14ac:dyDescent="0.25">
      <c r="A9" t="s">
        <v>363</v>
      </c>
      <c r="B9" t="s">
        <v>258</v>
      </c>
      <c r="C9" t="s">
        <v>246</v>
      </c>
    </row>
    <row r="10" spans="1:5" x14ac:dyDescent="0.25">
      <c r="B10" t="s">
        <v>259</v>
      </c>
      <c r="C10" t="s">
        <v>260</v>
      </c>
    </row>
    <row r="11" spans="1:5" x14ac:dyDescent="0.25">
      <c r="A11" t="s">
        <v>364</v>
      </c>
      <c r="B11" t="s">
        <v>261</v>
      </c>
    </row>
    <row r="12" spans="1:5" x14ac:dyDescent="0.25">
      <c r="A12" t="s">
        <v>365</v>
      </c>
      <c r="B12" t="s">
        <v>262</v>
      </c>
      <c r="C12" t="s">
        <v>263</v>
      </c>
    </row>
    <row r="13" spans="1:5" x14ac:dyDescent="0.25">
      <c r="A13" t="s">
        <v>366</v>
      </c>
      <c r="B13" t="s">
        <v>264</v>
      </c>
      <c r="C13" t="s">
        <v>265</v>
      </c>
      <c r="D13" t="s">
        <v>266</v>
      </c>
      <c r="E13" t="s">
        <v>267</v>
      </c>
    </row>
    <row r="14" spans="1:5" x14ac:dyDescent="0.25">
      <c r="A14" t="s">
        <v>367</v>
      </c>
      <c r="B14" t="s">
        <v>268</v>
      </c>
      <c r="C14" t="s">
        <v>269</v>
      </c>
      <c r="D14" t="s">
        <v>270</v>
      </c>
      <c r="E14" t="s">
        <v>271</v>
      </c>
    </row>
    <row r="15" spans="1:5" x14ac:dyDescent="0.25">
      <c r="A15" t="s">
        <v>368</v>
      </c>
      <c r="B15" t="s">
        <v>272</v>
      </c>
      <c r="D15" t="s">
        <v>273</v>
      </c>
      <c r="E15" t="s">
        <v>274</v>
      </c>
    </row>
    <row r="16" spans="1:5" x14ac:dyDescent="0.25">
      <c r="A16" t="s">
        <v>369</v>
      </c>
      <c r="B16" t="s">
        <v>275</v>
      </c>
    </row>
    <row r="17" spans="1:9" x14ac:dyDescent="0.25">
      <c r="A17" t="s">
        <v>370</v>
      </c>
      <c r="B17" t="s">
        <v>276</v>
      </c>
    </row>
    <row r="18" spans="1:9" x14ac:dyDescent="0.25">
      <c r="A18" t="s">
        <v>371</v>
      </c>
      <c r="B18" t="s">
        <v>277</v>
      </c>
      <c r="C18" t="s">
        <v>278</v>
      </c>
    </row>
    <row r="19" spans="1:9" x14ac:dyDescent="0.25">
      <c r="A19" t="s">
        <v>372</v>
      </c>
      <c r="B19" t="s">
        <v>279</v>
      </c>
      <c r="C19" t="s">
        <v>280</v>
      </c>
    </row>
    <row r="20" spans="1:9" x14ac:dyDescent="0.25">
      <c r="A20" t="s">
        <v>373</v>
      </c>
      <c r="B20" t="s">
        <v>281</v>
      </c>
      <c r="C20" t="s">
        <v>282</v>
      </c>
    </row>
    <row r="21" spans="1:9" x14ac:dyDescent="0.25">
      <c r="A21" t="s">
        <v>374</v>
      </c>
      <c r="B21" t="s">
        <v>283</v>
      </c>
    </row>
    <row r="22" spans="1:9" x14ac:dyDescent="0.25">
      <c r="A22" t="s">
        <v>375</v>
      </c>
      <c r="B22" t="s">
        <v>284</v>
      </c>
    </row>
    <row r="23" spans="1:9" x14ac:dyDescent="0.25">
      <c r="A23" t="s">
        <v>376</v>
      </c>
      <c r="B23" t="s">
        <v>285</v>
      </c>
    </row>
    <row r="24" spans="1:9" x14ac:dyDescent="0.25">
      <c r="A24" t="s">
        <v>377</v>
      </c>
      <c r="B24" t="s">
        <v>286</v>
      </c>
      <c r="C24">
        <v>2019</v>
      </c>
    </row>
    <row r="25" spans="1:9" x14ac:dyDescent="0.25">
      <c r="A25" t="s">
        <v>378</v>
      </c>
      <c r="B25" t="s">
        <v>287</v>
      </c>
      <c r="C25" t="s">
        <v>288</v>
      </c>
    </row>
    <row r="26" spans="1:9" x14ac:dyDescent="0.25">
      <c r="A26" t="s">
        <v>379</v>
      </c>
      <c r="B26" t="s">
        <v>289</v>
      </c>
      <c r="C26" t="s">
        <v>290</v>
      </c>
      <c r="D26" t="s">
        <v>291</v>
      </c>
      <c r="E26" t="s">
        <v>292</v>
      </c>
      <c r="F26" t="s">
        <v>293</v>
      </c>
      <c r="G26" t="s">
        <v>294</v>
      </c>
      <c r="H26" t="s">
        <v>295</v>
      </c>
      <c r="I26" t="s">
        <v>296</v>
      </c>
    </row>
    <row r="27" spans="1:9" x14ac:dyDescent="0.25">
      <c r="A27" t="s">
        <v>380</v>
      </c>
      <c r="B27" t="s">
        <v>297</v>
      </c>
    </row>
    <row r="28" spans="1:9" x14ac:dyDescent="0.25">
      <c r="A28" t="s">
        <v>381</v>
      </c>
      <c r="B28" t="s">
        <v>298</v>
      </c>
      <c r="D28" t="s">
        <v>299</v>
      </c>
      <c r="E28" t="s">
        <v>251</v>
      </c>
    </row>
    <row r="29" spans="1:9" x14ac:dyDescent="0.25">
      <c r="A29" t="s">
        <v>382</v>
      </c>
      <c r="B29" t="s">
        <v>300</v>
      </c>
    </row>
    <row r="30" spans="1:9" x14ac:dyDescent="0.25">
      <c r="A30" t="s">
        <v>383</v>
      </c>
      <c r="B30" t="s">
        <v>301</v>
      </c>
    </row>
    <row r="31" spans="1:9" x14ac:dyDescent="0.25">
      <c r="A31" t="s">
        <v>384</v>
      </c>
      <c r="B31" t="s">
        <v>302</v>
      </c>
      <c r="C31" t="s">
        <v>303</v>
      </c>
    </row>
    <row r="32" spans="1:9" x14ac:dyDescent="0.25">
      <c r="A32" t="s">
        <v>385</v>
      </c>
      <c r="B32" t="s">
        <v>304</v>
      </c>
    </row>
    <row r="33" spans="1:4" x14ac:dyDescent="0.25">
      <c r="A33" t="s">
        <v>386</v>
      </c>
      <c r="B33" t="s">
        <v>305</v>
      </c>
    </row>
    <row r="34" spans="1:4" x14ac:dyDescent="0.25">
      <c r="A34" t="s">
        <v>387</v>
      </c>
      <c r="B34" t="s">
        <v>306</v>
      </c>
    </row>
    <row r="35" spans="1:4" x14ac:dyDescent="0.25">
      <c r="A35" t="s">
        <v>388</v>
      </c>
      <c r="B35" t="s">
        <v>307</v>
      </c>
    </row>
    <row r="36" spans="1:4" x14ac:dyDescent="0.25">
      <c r="A36" t="s">
        <v>389</v>
      </c>
      <c r="B36" t="s">
        <v>308</v>
      </c>
    </row>
    <row r="37" spans="1:4" x14ac:dyDescent="0.25">
      <c r="A37" t="s">
        <v>390</v>
      </c>
      <c r="B37" t="s">
        <v>309</v>
      </c>
    </row>
    <row r="38" spans="1:4" x14ac:dyDescent="0.25">
      <c r="A38" t="s">
        <v>391</v>
      </c>
      <c r="B38" t="s">
        <v>310</v>
      </c>
    </row>
    <row r="39" spans="1:4" x14ac:dyDescent="0.25">
      <c r="A39" t="s">
        <v>392</v>
      </c>
      <c r="B39" t="s">
        <v>311</v>
      </c>
    </row>
    <row r="40" spans="1:4" x14ac:dyDescent="0.25">
      <c r="A40" t="s">
        <v>393</v>
      </c>
      <c r="B40" t="s">
        <v>312</v>
      </c>
    </row>
    <row r="41" spans="1:4" x14ac:dyDescent="0.25">
      <c r="A41" t="s">
        <v>394</v>
      </c>
      <c r="B41" t="s">
        <v>313</v>
      </c>
    </row>
    <row r="42" spans="1:4" x14ac:dyDescent="0.25">
      <c r="A42" t="s">
        <v>395</v>
      </c>
      <c r="B42" t="s">
        <v>314</v>
      </c>
    </row>
    <row r="43" spans="1:4" x14ac:dyDescent="0.25">
      <c r="A43" t="s">
        <v>396</v>
      </c>
      <c r="B43" t="s">
        <v>315</v>
      </c>
    </row>
    <row r="44" spans="1:4" x14ac:dyDescent="0.25">
      <c r="A44" t="s">
        <v>397</v>
      </c>
      <c r="B44" t="s">
        <v>316</v>
      </c>
    </row>
    <row r="45" spans="1:4" x14ac:dyDescent="0.25">
      <c r="A45" t="s">
        <v>398</v>
      </c>
      <c r="B45" t="s">
        <v>317</v>
      </c>
    </row>
    <row r="46" spans="1:4" x14ac:dyDescent="0.25">
      <c r="A46" t="s">
        <v>399</v>
      </c>
      <c r="B46" t="s">
        <v>318</v>
      </c>
      <c r="C46" t="s">
        <v>319</v>
      </c>
      <c r="D46" t="s">
        <v>319</v>
      </c>
    </row>
    <row r="47" spans="1:4" x14ac:dyDescent="0.25">
      <c r="A47" t="s">
        <v>400</v>
      </c>
      <c r="B47" t="s">
        <v>320</v>
      </c>
      <c r="C47" t="s">
        <v>321</v>
      </c>
      <c r="D47" t="s">
        <v>322</v>
      </c>
    </row>
    <row r="48" spans="1:4" x14ac:dyDescent="0.25">
      <c r="A48" t="s">
        <v>401</v>
      </c>
      <c r="B48" t="s">
        <v>323</v>
      </c>
    </row>
    <row r="49" spans="1:3" x14ac:dyDescent="0.25">
      <c r="A49" t="s">
        <v>402</v>
      </c>
      <c r="B49" t="s">
        <v>324</v>
      </c>
    </row>
    <row r="50" spans="1:3" x14ac:dyDescent="0.25">
      <c r="A50" t="s">
        <v>403</v>
      </c>
      <c r="B50" t="s">
        <v>325</v>
      </c>
    </row>
    <row r="51" spans="1:3" x14ac:dyDescent="0.25">
      <c r="A51" t="s">
        <v>404</v>
      </c>
      <c r="B51" t="s">
        <v>326</v>
      </c>
    </row>
    <row r="52" spans="1:3" x14ac:dyDescent="0.25">
      <c r="A52" t="s">
        <v>405</v>
      </c>
      <c r="B52" t="s">
        <v>327</v>
      </c>
    </row>
    <row r="53" spans="1:3" x14ac:dyDescent="0.25">
      <c r="A53" t="s">
        <v>406</v>
      </c>
      <c r="B53" t="s">
        <v>328</v>
      </c>
      <c r="C53" t="s">
        <v>329</v>
      </c>
    </row>
    <row r="54" spans="1:3" x14ac:dyDescent="0.25">
      <c r="A54" t="s">
        <v>407</v>
      </c>
      <c r="B54" t="s">
        <v>330</v>
      </c>
    </row>
    <row r="55" spans="1:3" x14ac:dyDescent="0.25">
      <c r="A55" t="s">
        <v>408</v>
      </c>
      <c r="B55" t="s">
        <v>331</v>
      </c>
      <c r="C55" t="s">
        <v>332</v>
      </c>
    </row>
    <row r="56" spans="1:3" x14ac:dyDescent="0.25">
      <c r="A56" t="s">
        <v>409</v>
      </c>
      <c r="B56" t="s">
        <v>333</v>
      </c>
      <c r="C56" t="s">
        <v>334</v>
      </c>
    </row>
    <row r="57" spans="1:3" x14ac:dyDescent="0.25">
      <c r="A57" t="s">
        <v>410</v>
      </c>
      <c r="B57" t="s">
        <v>335</v>
      </c>
    </row>
    <row r="58" spans="1:3" x14ac:dyDescent="0.25">
      <c r="A58" t="s">
        <v>411</v>
      </c>
      <c r="B58" t="s">
        <v>336</v>
      </c>
    </row>
    <row r="59" spans="1:3" x14ac:dyDescent="0.25">
      <c r="A59" t="s">
        <v>412</v>
      </c>
      <c r="B59" t="s">
        <v>337</v>
      </c>
    </row>
    <row r="60" spans="1:3" x14ac:dyDescent="0.25">
      <c r="A60" t="s">
        <v>413</v>
      </c>
      <c r="B60" t="s">
        <v>338</v>
      </c>
    </row>
    <row r="61" spans="1:3" x14ac:dyDescent="0.25">
      <c r="A61" t="s">
        <v>414</v>
      </c>
      <c r="B61" t="s">
        <v>339</v>
      </c>
    </row>
    <row r="62" spans="1:3" x14ac:dyDescent="0.25">
      <c r="A62" t="s">
        <v>415</v>
      </c>
      <c r="B62" t="s">
        <v>340</v>
      </c>
      <c r="C62" t="s">
        <v>341</v>
      </c>
    </row>
    <row r="63" spans="1:3" x14ac:dyDescent="0.25">
      <c r="A63" t="s">
        <v>416</v>
      </c>
      <c r="B63" t="s">
        <v>342</v>
      </c>
    </row>
    <row r="64" spans="1:3" x14ac:dyDescent="0.25">
      <c r="A64" t="s">
        <v>417</v>
      </c>
      <c r="B64" t="s">
        <v>343</v>
      </c>
    </row>
    <row r="65" spans="1:3" x14ac:dyDescent="0.25">
      <c r="A65" t="s">
        <v>418</v>
      </c>
      <c r="B65" t="s">
        <v>344</v>
      </c>
    </row>
    <row r="66" spans="1:3" x14ac:dyDescent="0.25">
      <c r="A66" t="s">
        <v>419</v>
      </c>
      <c r="B66" t="s">
        <v>345</v>
      </c>
    </row>
    <row r="67" spans="1:3" x14ac:dyDescent="0.25">
      <c r="A67" t="s">
        <v>420</v>
      </c>
      <c r="B67" t="s">
        <v>346</v>
      </c>
    </row>
    <row r="68" spans="1:3" x14ac:dyDescent="0.25">
      <c r="A68" t="s">
        <v>421</v>
      </c>
      <c r="B68" t="s">
        <v>347</v>
      </c>
    </row>
    <row r="69" spans="1:3" x14ac:dyDescent="0.25">
      <c r="A69" t="s">
        <v>422</v>
      </c>
      <c r="B69" t="s">
        <v>348</v>
      </c>
    </row>
    <row r="70" spans="1:3" x14ac:dyDescent="0.25">
      <c r="A70" t="s">
        <v>423</v>
      </c>
      <c r="B70" t="s">
        <v>349</v>
      </c>
    </row>
    <row r="71" spans="1:3" x14ac:dyDescent="0.25">
      <c r="A71" t="s">
        <v>424</v>
      </c>
      <c r="B71" t="s">
        <v>350</v>
      </c>
    </row>
    <row r="72" spans="1:3" x14ac:dyDescent="0.25">
      <c r="A72" t="s">
        <v>425</v>
      </c>
      <c r="B72" t="s">
        <v>351</v>
      </c>
    </row>
    <row r="73" spans="1:3" x14ac:dyDescent="0.25">
      <c r="A73" t="s">
        <v>426</v>
      </c>
      <c r="B73" t="s">
        <v>352</v>
      </c>
    </row>
    <row r="74" spans="1:3" x14ac:dyDescent="0.25">
      <c r="A74" t="s">
        <v>427</v>
      </c>
      <c r="B74" t="s">
        <v>353</v>
      </c>
    </row>
    <row r="75" spans="1:3" x14ac:dyDescent="0.25">
      <c r="A75" t="s">
        <v>428</v>
      </c>
      <c r="B75" t="s">
        <v>354</v>
      </c>
    </row>
    <row r="76" spans="1:3" x14ac:dyDescent="0.25">
      <c r="A76" t="s">
        <v>429</v>
      </c>
      <c r="B76" t="s">
        <v>355</v>
      </c>
    </row>
    <row r="77" spans="1:3" x14ac:dyDescent="0.25">
      <c r="A77" t="s">
        <v>430</v>
      </c>
      <c r="B77" t="s">
        <v>356</v>
      </c>
    </row>
    <row r="78" spans="1:3" x14ac:dyDescent="0.25">
      <c r="A78" t="s">
        <v>431</v>
      </c>
      <c r="B78" t="s">
        <v>357</v>
      </c>
    </row>
    <row r="79" spans="1:3" x14ac:dyDescent="0.25">
      <c r="A79" t="s">
        <v>432</v>
      </c>
      <c r="B79" t="s">
        <v>358</v>
      </c>
      <c r="C79" t="s">
        <v>359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2"/>
  <sheetViews>
    <sheetView topLeftCell="A50" workbookViewId="0"/>
  </sheetViews>
  <sheetFormatPr defaultRowHeight="15" x14ac:dyDescent="0.25"/>
  <cols>
    <col min="1" max="1" width="46.08984375" bestFit="1" customWidth="1"/>
    <col min="3" max="4" width="10.26953125" bestFit="1" customWidth="1"/>
  </cols>
  <sheetData>
    <row r="1" spans="1:15" x14ac:dyDescent="0.25">
      <c r="A1" t="s">
        <v>240</v>
      </c>
      <c r="G1" s="34"/>
      <c r="H1" s="34"/>
      <c r="I1" s="34"/>
      <c r="J1" s="34"/>
      <c r="K1" s="34"/>
      <c r="L1" s="34"/>
      <c r="M1" s="34"/>
      <c r="N1" s="34"/>
      <c r="O1" s="34"/>
    </row>
    <row r="2" spans="1:15" x14ac:dyDescent="0.25">
      <c r="A2" t="s">
        <v>70</v>
      </c>
      <c r="B2" s="12"/>
      <c r="G2" s="34"/>
      <c r="H2" s="34"/>
      <c r="I2" s="34"/>
      <c r="J2" s="34"/>
      <c r="K2" s="34"/>
      <c r="L2" s="34"/>
      <c r="M2" s="34"/>
      <c r="N2" s="34"/>
      <c r="O2" s="34"/>
    </row>
    <row r="3" spans="1:15" x14ac:dyDescent="0.25">
      <c r="G3" s="34"/>
      <c r="H3" s="34"/>
      <c r="I3" s="34"/>
      <c r="J3" s="34"/>
      <c r="K3" s="34"/>
      <c r="L3" s="34"/>
      <c r="M3" s="34"/>
      <c r="N3" s="34"/>
      <c r="O3" s="34"/>
    </row>
    <row r="4" spans="1:15" x14ac:dyDescent="0.25">
      <c r="G4" s="34"/>
      <c r="H4" s="34"/>
      <c r="I4" s="34"/>
      <c r="J4" s="34"/>
      <c r="K4" s="34"/>
      <c r="L4" s="34"/>
      <c r="M4" s="34"/>
      <c r="N4" s="34"/>
      <c r="O4" s="34"/>
    </row>
    <row r="5" spans="1:15" x14ac:dyDescent="0.25">
      <c r="A5" t="s">
        <v>54</v>
      </c>
      <c r="B5" t="s">
        <v>30</v>
      </c>
      <c r="C5" t="s">
        <v>50</v>
      </c>
      <c r="H5" s="34"/>
      <c r="I5" s="34"/>
      <c r="J5" s="34"/>
      <c r="K5" s="34"/>
      <c r="L5" s="34"/>
      <c r="M5" s="34"/>
      <c r="N5" s="34"/>
      <c r="O5" s="34"/>
    </row>
    <row r="6" spans="1:15" x14ac:dyDescent="0.25">
      <c r="A6" t="s">
        <v>24</v>
      </c>
      <c r="B6" s="16">
        <v>49.07</v>
      </c>
      <c r="C6" s="2">
        <f>B6/12.01</f>
        <v>4.0857618651124064</v>
      </c>
      <c r="D6" s="1"/>
      <c r="F6" s="1"/>
      <c r="H6" s="17"/>
      <c r="I6" s="17"/>
      <c r="J6" s="17"/>
      <c r="K6" s="17"/>
      <c r="L6" s="17"/>
      <c r="M6" s="17"/>
      <c r="N6" s="17"/>
      <c r="O6" s="34"/>
    </row>
    <row r="7" spans="1:15" x14ac:dyDescent="0.25">
      <c r="A7" t="s">
        <v>25</v>
      </c>
      <c r="B7" s="16">
        <v>6.48</v>
      </c>
      <c r="C7" s="2">
        <f>B7/1.01</f>
        <v>6.4158415841584162</v>
      </c>
      <c r="D7" s="1"/>
      <c r="F7" s="1"/>
      <c r="G7" s="1"/>
      <c r="H7" s="17"/>
      <c r="I7" s="17"/>
      <c r="J7" s="17"/>
      <c r="K7" s="34"/>
      <c r="L7" s="17"/>
      <c r="M7" s="17"/>
      <c r="N7" s="17"/>
      <c r="O7" s="34"/>
    </row>
    <row r="8" spans="1:15" x14ac:dyDescent="0.25">
      <c r="A8" t="s">
        <v>27</v>
      </c>
      <c r="B8" s="16">
        <v>38.29</v>
      </c>
      <c r="C8" s="2">
        <f>B8/16</f>
        <v>2.3931249999999999</v>
      </c>
      <c r="D8" s="1"/>
      <c r="F8" s="1"/>
      <c r="G8" s="1"/>
      <c r="H8" s="17"/>
      <c r="I8" s="17"/>
      <c r="J8" s="17"/>
      <c r="K8" s="34"/>
      <c r="L8" s="17"/>
      <c r="M8" s="17"/>
      <c r="N8" s="17"/>
      <c r="O8" s="34"/>
    </row>
    <row r="9" spans="1:15" x14ac:dyDescent="0.25">
      <c r="A9" t="s">
        <v>28</v>
      </c>
      <c r="B9" s="16">
        <v>0.7</v>
      </c>
      <c r="C9" s="2">
        <f>B9/14.01</f>
        <v>4.9964311206281226E-2</v>
      </c>
      <c r="D9" s="1"/>
      <c r="F9" s="1"/>
      <c r="G9" s="34"/>
      <c r="H9" s="17"/>
      <c r="I9" s="17"/>
      <c r="J9" s="17"/>
      <c r="K9" s="34"/>
      <c r="L9" s="17"/>
      <c r="M9" s="17"/>
      <c r="N9" s="17"/>
      <c r="O9" s="34"/>
    </row>
    <row r="10" spans="1:15" x14ac:dyDescent="0.25">
      <c r="A10" t="s">
        <v>26</v>
      </c>
      <c r="B10" s="16">
        <v>0.1</v>
      </c>
      <c r="C10" s="2">
        <f>B10/32.07</f>
        <v>3.1181789834736516E-3</v>
      </c>
      <c r="D10" s="1"/>
      <c r="F10" s="1"/>
      <c r="G10" s="34"/>
      <c r="H10" s="17"/>
      <c r="I10" s="17"/>
      <c r="J10" s="17"/>
      <c r="K10" s="34"/>
      <c r="L10" s="17"/>
      <c r="M10" s="17"/>
      <c r="N10" s="17"/>
      <c r="O10" s="34"/>
    </row>
    <row r="11" spans="1:15" x14ac:dyDescent="0.25">
      <c r="A11" t="s">
        <v>29</v>
      </c>
      <c r="B11" s="1">
        <f>SUM(B6:B10)</f>
        <v>94.64</v>
      </c>
      <c r="C11" s="2">
        <f>SUM(C6:C10)</f>
        <v>12.947810939460577</v>
      </c>
      <c r="D11" s="1"/>
      <c r="F11" s="9"/>
      <c r="G11" s="34"/>
      <c r="H11" s="35"/>
      <c r="I11" s="35"/>
      <c r="J11" s="17"/>
      <c r="K11" s="34"/>
      <c r="L11" s="35"/>
      <c r="M11" s="35"/>
      <c r="N11" s="17"/>
      <c r="O11" s="34"/>
    </row>
    <row r="12" spans="1:15" x14ac:dyDescent="0.25">
      <c r="G12" s="34"/>
      <c r="H12" s="34"/>
      <c r="I12" s="34"/>
      <c r="J12" s="34"/>
      <c r="K12" s="34"/>
      <c r="L12" s="34"/>
      <c r="M12" s="34"/>
      <c r="N12" s="34"/>
      <c r="O12" s="34"/>
    </row>
    <row r="13" spans="1:15" x14ac:dyDescent="0.25">
      <c r="A13" t="s">
        <v>98</v>
      </c>
      <c r="B13" s="16">
        <v>5.36</v>
      </c>
    </row>
    <row r="14" spans="1:15" x14ac:dyDescent="0.25">
      <c r="B14" s="29"/>
    </row>
    <row r="15" spans="1:15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5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C6</f>
        <v>4.0857618651124064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>C7</f>
        <v>6.4158415841584162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>C8</f>
        <v>2.3931249999999999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1.2852389690728023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1.8391819845364012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2.2465798805760051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1.2852389690728023</v>
      </c>
      <c r="E27" s="5" t="s">
        <v>35</v>
      </c>
      <c r="F27" s="5" t="s">
        <v>36</v>
      </c>
      <c r="G27" s="15">
        <f>C23</f>
        <v>1.8391819845364012</v>
      </c>
      <c r="H27" s="5" t="s">
        <v>38</v>
      </c>
      <c r="I27" s="5" t="s">
        <v>33</v>
      </c>
      <c r="J27" s="15">
        <f>C24</f>
        <v>2.2465798805760051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J27*16.05</f>
        <v>36.057607083244882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50</v>
      </c>
      <c r="C32" t="s">
        <v>30</v>
      </c>
    </row>
    <row r="33" spans="1:3" x14ac:dyDescent="0.25">
      <c r="A33" t="s">
        <v>53</v>
      </c>
      <c r="B33" s="1">
        <f>0.3491*B6+1.17838*B7+0.1005*B10-0.1034*B8-0.0151*B9-0.0211*B13</f>
        <v>20.693437400000001</v>
      </c>
      <c r="C33" t="s">
        <v>61</v>
      </c>
    </row>
    <row r="34" spans="1:3" x14ac:dyDescent="0.25">
      <c r="A34" t="s">
        <v>55</v>
      </c>
      <c r="B34" s="1">
        <f>B33-2.44*(((B7/100)*0.018/0.002)+((B32/100)/(1-(B32/100))))</f>
        <v>16.8304294</v>
      </c>
      <c r="C34" t="s">
        <v>61</v>
      </c>
    </row>
    <row r="35" spans="1:3" x14ac:dyDescent="0.25">
      <c r="A35" t="s">
        <v>56</v>
      </c>
      <c r="B35" s="1">
        <f>B34*(1-(B32/100))</f>
        <v>8.4152146999999999</v>
      </c>
      <c r="C35" t="s">
        <v>61</v>
      </c>
    </row>
    <row r="36" spans="1:3" x14ac:dyDescent="0.25">
      <c r="A36" t="s">
        <v>119</v>
      </c>
      <c r="B36" s="16">
        <v>19.25</v>
      </c>
      <c r="C36" t="s">
        <v>61</v>
      </c>
    </row>
    <row r="37" spans="1:3" x14ac:dyDescent="0.25">
      <c r="A37" t="s">
        <v>120</v>
      </c>
      <c r="B37" s="17">
        <f>B36*(1-(B32/100))</f>
        <v>9.625</v>
      </c>
      <c r="C37" t="s">
        <v>61</v>
      </c>
    </row>
    <row r="38" spans="1:3" x14ac:dyDescent="0.25">
      <c r="B38" s="29"/>
    </row>
    <row r="39" spans="1:3" x14ac:dyDescent="0.25">
      <c r="A39" t="s">
        <v>100</v>
      </c>
      <c r="B39" s="30">
        <v>3000</v>
      </c>
      <c r="C39" t="s">
        <v>65</v>
      </c>
    </row>
    <row r="40" spans="1:3" x14ac:dyDescent="0.25">
      <c r="A40" t="s">
        <v>100</v>
      </c>
      <c r="B40" s="2">
        <f>B39/3600</f>
        <v>0.83333333333333337</v>
      </c>
      <c r="C40" t="s">
        <v>60</v>
      </c>
    </row>
    <row r="41" spans="1:3" x14ac:dyDescent="0.25">
      <c r="A41" t="s">
        <v>101</v>
      </c>
      <c r="B41" s="2">
        <f>(1-B32/100)*B40</f>
        <v>0.41666666666666669</v>
      </c>
      <c r="C41" t="s">
        <v>60</v>
      </c>
    </row>
    <row r="42" spans="1:3" x14ac:dyDescent="0.25">
      <c r="B42" s="29"/>
    </row>
    <row r="43" spans="1:3" x14ac:dyDescent="0.25">
      <c r="A43" t="s">
        <v>114</v>
      </c>
      <c r="B43" t="s">
        <v>65</v>
      </c>
      <c r="C43" t="s">
        <v>30</v>
      </c>
    </row>
    <row r="44" spans="1:3" x14ac:dyDescent="0.25">
      <c r="A44" t="s">
        <v>40</v>
      </c>
      <c r="B44" s="12">
        <v>288</v>
      </c>
      <c r="C44" s="1">
        <f>100*B44/$B$48</f>
        <v>99.190631995867065</v>
      </c>
    </row>
    <row r="45" spans="1:3" x14ac:dyDescent="0.25">
      <c r="A45" t="s">
        <v>38</v>
      </c>
      <c r="B45" s="16">
        <v>0.01</v>
      </c>
      <c r="C45" s="1">
        <f>100*B45/$B$48</f>
        <v>3.4441191665231623E-3</v>
      </c>
    </row>
    <row r="46" spans="1:3" x14ac:dyDescent="0.25">
      <c r="A46" t="s">
        <v>112</v>
      </c>
      <c r="B46" s="16">
        <v>0.14000000000000001</v>
      </c>
      <c r="C46" s="1">
        <f>100*B46/$B$48</f>
        <v>4.8217668331324279E-2</v>
      </c>
    </row>
    <row r="47" spans="1:3" x14ac:dyDescent="0.25">
      <c r="A47" t="s">
        <v>103</v>
      </c>
      <c r="B47" s="16">
        <v>2.2000000000000002</v>
      </c>
      <c r="C47" s="1">
        <f>100*B47/$B$48</f>
        <v>0.75770621663509574</v>
      </c>
    </row>
    <row r="48" spans="1:3" s="34" customFormat="1" x14ac:dyDescent="0.25">
      <c r="A48" s="34" t="s">
        <v>29</v>
      </c>
      <c r="B48" s="17">
        <f>SUM(B44:B47)</f>
        <v>290.34999999999997</v>
      </c>
      <c r="C48" s="17">
        <f>SUM(C44:C47)</f>
        <v>100</v>
      </c>
    </row>
    <row r="49" spans="1:4" s="34" customFormat="1" x14ac:dyDescent="0.25">
      <c r="B49" s="17"/>
    </row>
    <row r="50" spans="1:4" s="34" customFormat="1" x14ac:dyDescent="0.25">
      <c r="A50" t="s">
        <v>52</v>
      </c>
      <c r="B50" s="12">
        <v>49.9</v>
      </c>
      <c r="C50" t="s">
        <v>61</v>
      </c>
      <c r="D50"/>
    </row>
    <row r="51" spans="1:4" s="34" customFormat="1" x14ac:dyDescent="0.25">
      <c r="A51" t="s">
        <v>105</v>
      </c>
      <c r="B51" s="12">
        <v>120.1</v>
      </c>
      <c r="C51" t="s">
        <v>61</v>
      </c>
      <c r="D51"/>
    </row>
    <row r="52" spans="1:4" s="34" customFormat="1" x14ac:dyDescent="0.25">
      <c r="A52" t="s">
        <v>118</v>
      </c>
      <c r="B52" s="12">
        <v>10.199999999999999</v>
      </c>
      <c r="C52" t="s">
        <v>61</v>
      </c>
      <c r="D52"/>
    </row>
    <row r="53" spans="1:4" s="34" customFormat="1" x14ac:dyDescent="0.25">
      <c r="A53" t="s">
        <v>113</v>
      </c>
      <c r="B53" s="35">
        <f>(C44/100)*B50+(C46/100)*B52+(C47/100)*B51</f>
        <v>50.411048734286211</v>
      </c>
      <c r="C53" t="s">
        <v>61</v>
      </c>
    </row>
    <row r="54" spans="1:4" s="34" customFormat="1" x14ac:dyDescent="0.25">
      <c r="B54" s="17"/>
    </row>
    <row r="55" spans="1:4" x14ac:dyDescent="0.25">
      <c r="A55" t="s">
        <v>62</v>
      </c>
      <c r="B55" s="2">
        <f>B44/3600</f>
        <v>0.08</v>
      </c>
      <c r="C55" t="s">
        <v>60</v>
      </c>
    </row>
    <row r="56" spans="1:4" x14ac:dyDescent="0.25">
      <c r="A56" t="s">
        <v>106</v>
      </c>
      <c r="B56" s="2">
        <f>B48/3600</f>
        <v>8.0652777777777768E-2</v>
      </c>
      <c r="C56" t="s">
        <v>60</v>
      </c>
    </row>
    <row r="57" spans="1:4" x14ac:dyDescent="0.25">
      <c r="B57" s="2"/>
    </row>
    <row r="58" spans="1:4" x14ac:dyDescent="0.25">
      <c r="A58" s="10" t="s">
        <v>124</v>
      </c>
      <c r="B58" s="1">
        <f>B30</f>
        <v>36.057607083244882</v>
      </c>
      <c r="C58" t="s">
        <v>30</v>
      </c>
    </row>
    <row r="59" spans="1:4" x14ac:dyDescent="0.25">
      <c r="A59" t="s">
        <v>121</v>
      </c>
      <c r="B59" s="1">
        <f>100*B55/B41</f>
        <v>19.2</v>
      </c>
      <c r="C59" t="s">
        <v>30</v>
      </c>
    </row>
    <row r="60" spans="1:4" x14ac:dyDescent="0.25">
      <c r="A60" t="s">
        <v>144</v>
      </c>
      <c r="B60" s="1">
        <f>100*B59/B58</f>
        <v>53.24812585503431</v>
      </c>
      <c r="C60" t="s">
        <v>126</v>
      </c>
    </row>
    <row r="62" spans="1:4" x14ac:dyDescent="0.25">
      <c r="A62" t="s">
        <v>107</v>
      </c>
    </row>
    <row r="63" spans="1:4" x14ac:dyDescent="0.25">
      <c r="A63" t="s">
        <v>108</v>
      </c>
      <c r="B63" s="29">
        <f>100*B44*13.8/(2.34*3000)</f>
        <v>56.615384615384613</v>
      </c>
      <c r="C63" s="29"/>
    </row>
    <row r="64" spans="1:4" x14ac:dyDescent="0.25">
      <c r="A64" t="s">
        <v>109</v>
      </c>
      <c r="B64" s="29">
        <f>100*B30*B50/(100*B34)</f>
        <v>106.90604206770385</v>
      </c>
      <c r="C64" s="29"/>
    </row>
    <row r="65" spans="1:3" x14ac:dyDescent="0.25">
      <c r="A65" t="s">
        <v>161</v>
      </c>
      <c r="B65" s="29">
        <f>100*B48*13.8/(2.34*3000)</f>
        <v>57.077350427350417</v>
      </c>
      <c r="C65" s="29"/>
    </row>
    <row r="67" spans="1:3" x14ac:dyDescent="0.25">
      <c r="A67" t="s">
        <v>146</v>
      </c>
      <c r="B67">
        <v>0.83699999999999997</v>
      </c>
    </row>
    <row r="68" spans="1:3" x14ac:dyDescent="0.25">
      <c r="A68" t="s">
        <v>147</v>
      </c>
      <c r="B68">
        <v>1.149</v>
      </c>
    </row>
    <row r="69" spans="1:3" x14ac:dyDescent="0.25">
      <c r="A69" t="s">
        <v>145</v>
      </c>
    </row>
    <row r="70" spans="1:3" x14ac:dyDescent="0.25">
      <c r="A70" t="s">
        <v>148</v>
      </c>
      <c r="B70" s="29">
        <f>100*(288*13.8+2271)/(3000*2.34+724)</f>
        <v>80.648243801652896</v>
      </c>
    </row>
    <row r="71" spans="1:3" x14ac:dyDescent="0.25">
      <c r="A71" t="s">
        <v>167</v>
      </c>
      <c r="B71" s="29">
        <f>100*(290.42*13.8+2271)/(3000*2.34+724)</f>
        <v>81.079493801652887</v>
      </c>
    </row>
    <row r="72" spans="1:3" x14ac:dyDescent="0.25">
      <c r="B72" s="29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3"/>
  <sheetViews>
    <sheetView workbookViewId="0">
      <selection sqref="A1:XFD1048576"/>
    </sheetView>
  </sheetViews>
  <sheetFormatPr defaultRowHeight="15" x14ac:dyDescent="0.25"/>
  <cols>
    <col min="1" max="1" width="31.1796875" customWidth="1"/>
    <col min="2" max="2" width="13.54296875" customWidth="1"/>
    <col min="3" max="3" width="13.6328125" customWidth="1"/>
    <col min="4" max="4" width="11.08984375" customWidth="1"/>
    <col min="5" max="5" width="12.6328125" customWidth="1"/>
    <col min="6" max="6" width="9" customWidth="1"/>
    <col min="7" max="7" width="12.453125" customWidth="1"/>
    <col min="8" max="8" width="10.7265625" customWidth="1"/>
    <col min="9" max="9" width="10.36328125" customWidth="1"/>
    <col min="10" max="10" width="10.26953125" customWidth="1"/>
    <col min="11" max="11" width="12.6328125" customWidth="1"/>
    <col min="13" max="13" width="38.26953125" customWidth="1"/>
  </cols>
  <sheetData>
    <row r="1" spans="1:14" ht="17.399999999999999" x14ac:dyDescent="0.3">
      <c r="A1" s="57" t="s">
        <v>181</v>
      </c>
      <c r="B1" s="57"/>
      <c r="C1" s="57"/>
      <c r="D1" s="57"/>
      <c r="E1" s="57"/>
      <c r="F1" s="57"/>
      <c r="G1" s="57"/>
      <c r="H1" s="57"/>
      <c r="I1" s="57"/>
      <c r="J1" s="57"/>
      <c r="K1" s="57"/>
    </row>
    <row r="2" spans="1:14" ht="14.25" customHeight="1" x14ac:dyDescent="0.25">
      <c r="A2" s="40" t="s">
        <v>182</v>
      </c>
      <c r="B2" s="41" t="s">
        <v>183</v>
      </c>
      <c r="C2" s="41" t="s">
        <v>184</v>
      </c>
      <c r="D2" s="41" t="s">
        <v>185</v>
      </c>
      <c r="E2" s="41" t="s">
        <v>186</v>
      </c>
      <c r="F2" s="41" t="s">
        <v>187</v>
      </c>
      <c r="G2" s="41" t="s">
        <v>188</v>
      </c>
      <c r="H2" s="41" t="s">
        <v>189</v>
      </c>
      <c r="I2" s="41" t="s">
        <v>190</v>
      </c>
      <c r="J2" s="41" t="s">
        <v>191</v>
      </c>
      <c r="K2" s="41" t="s">
        <v>192</v>
      </c>
    </row>
    <row r="3" spans="1:14" ht="15.75" customHeight="1" x14ac:dyDescent="0.25">
      <c r="A3" s="40" t="s">
        <v>193</v>
      </c>
      <c r="B3" s="41" t="s">
        <v>194</v>
      </c>
      <c r="C3" s="41" t="s">
        <v>194</v>
      </c>
      <c r="D3" s="41" t="s">
        <v>194</v>
      </c>
      <c r="E3" s="41" t="s">
        <v>194</v>
      </c>
      <c r="F3" s="41" t="s">
        <v>194</v>
      </c>
      <c r="G3" s="41" t="s">
        <v>194</v>
      </c>
      <c r="H3" s="41" t="s">
        <v>194</v>
      </c>
      <c r="I3" s="41" t="s">
        <v>194</v>
      </c>
      <c r="J3" s="41" t="s">
        <v>194</v>
      </c>
      <c r="K3" s="41" t="s">
        <v>194</v>
      </c>
    </row>
    <row r="4" spans="1:14" x14ac:dyDescent="0.25">
      <c r="A4" s="40" t="s">
        <v>195</v>
      </c>
      <c r="B4" s="41">
        <v>-410969.64299999998</v>
      </c>
      <c r="C4" s="41">
        <v>-167358.46400000001</v>
      </c>
      <c r="D4" s="41">
        <v>-81328.243900000001</v>
      </c>
      <c r="E4" s="41">
        <v>-9685.4003100000009</v>
      </c>
      <c r="F4" s="41">
        <v>-1122.79619</v>
      </c>
      <c r="G4" s="41">
        <v>146.09167299999999</v>
      </c>
      <c r="H4" s="41">
        <v>8029.3528399999996</v>
      </c>
      <c r="I4" s="41">
        <v>90924.444300000003</v>
      </c>
      <c r="J4" s="41">
        <v>160537.95800000001</v>
      </c>
      <c r="K4" s="41">
        <v>370068.28100000002</v>
      </c>
    </row>
    <row r="5" spans="1:14" x14ac:dyDescent="0.25">
      <c r="A5" s="40" t="s">
        <v>193</v>
      </c>
      <c r="B5" s="41" t="s">
        <v>196</v>
      </c>
      <c r="C5" s="41" t="s">
        <v>196</v>
      </c>
      <c r="D5" s="41" t="s">
        <v>196</v>
      </c>
      <c r="E5" s="41" t="s">
        <v>196</v>
      </c>
      <c r="F5" s="41" t="s">
        <v>196</v>
      </c>
      <c r="G5" s="41" t="s">
        <v>196</v>
      </c>
      <c r="H5" s="41" t="s">
        <v>196</v>
      </c>
      <c r="I5" s="41" t="s">
        <v>196</v>
      </c>
      <c r="J5" s="41" t="s">
        <v>196</v>
      </c>
      <c r="K5" s="41" t="s">
        <v>196</v>
      </c>
      <c r="M5" s="42" t="s">
        <v>197</v>
      </c>
      <c r="N5" s="40"/>
    </row>
    <row r="6" spans="1:14" x14ac:dyDescent="0.25">
      <c r="A6" s="40" t="s">
        <v>195</v>
      </c>
      <c r="B6" s="41">
        <f>B4*0.0041868</f>
        <v>-1720.6477013123999</v>
      </c>
      <c r="C6" s="41">
        <f t="shared" ref="C6:K6" si="0">C4*0.0041868</f>
        <v>-700.69641707520009</v>
      </c>
      <c r="D6" s="41">
        <f t="shared" si="0"/>
        <v>-340.50509156051999</v>
      </c>
      <c r="E6" s="41">
        <f t="shared" si="0"/>
        <v>-40.550834017908002</v>
      </c>
      <c r="F6" s="41">
        <f t="shared" si="0"/>
        <v>-4.7009230882919999</v>
      </c>
      <c r="G6" s="41">
        <f t="shared" si="0"/>
        <v>0.61165661651639991</v>
      </c>
      <c r="H6" s="41">
        <f t="shared" si="0"/>
        <v>33.617294470512</v>
      </c>
      <c r="I6" s="41">
        <f t="shared" si="0"/>
        <v>380.68246339524001</v>
      </c>
      <c r="J6" s="41">
        <f t="shared" si="0"/>
        <v>672.14032255440009</v>
      </c>
      <c r="K6" s="41">
        <f t="shared" si="0"/>
        <v>1549.4018788908002</v>
      </c>
      <c r="M6" s="43" t="s">
        <v>198</v>
      </c>
      <c r="N6" s="40">
        <f>B43</f>
        <v>90.826611200000002</v>
      </c>
    </row>
    <row r="7" spans="1:14" x14ac:dyDescent="0.25">
      <c r="M7" s="43" t="s">
        <v>199</v>
      </c>
      <c r="N7" s="40">
        <f>C43</f>
        <v>226.70181600000001</v>
      </c>
    </row>
    <row r="8" spans="1:14" ht="19.5" customHeight="1" x14ac:dyDescent="0.3">
      <c r="A8" s="57" t="s">
        <v>200</v>
      </c>
      <c r="B8" s="57"/>
      <c r="C8" s="57"/>
      <c r="M8" s="43" t="s">
        <v>201</v>
      </c>
      <c r="N8" s="40">
        <f>D18</f>
        <v>2.7126995699999998</v>
      </c>
    </row>
    <row r="9" spans="1:14" ht="17.25" customHeight="1" x14ac:dyDescent="0.25">
      <c r="A9" s="40" t="s">
        <v>182</v>
      </c>
      <c r="B9" s="40" t="s">
        <v>202</v>
      </c>
      <c r="C9" s="40" t="s">
        <v>203</v>
      </c>
      <c r="D9" s="40" t="s">
        <v>204</v>
      </c>
      <c r="E9" s="44">
        <v>37135</v>
      </c>
      <c r="M9" s="43" t="s">
        <v>205</v>
      </c>
      <c r="N9" s="40">
        <f>B18</f>
        <v>6.03635769</v>
      </c>
    </row>
    <row r="10" spans="1:14" ht="14.25" customHeight="1" x14ac:dyDescent="0.25">
      <c r="A10" s="40" t="s">
        <v>193</v>
      </c>
      <c r="B10" s="41" t="s">
        <v>194</v>
      </c>
      <c r="C10" s="41" t="s">
        <v>194</v>
      </c>
      <c r="D10" s="41" t="s">
        <v>194</v>
      </c>
      <c r="E10" s="41" t="s">
        <v>194</v>
      </c>
      <c r="M10" s="43" t="s">
        <v>206</v>
      </c>
      <c r="N10" s="40">
        <f>B23</f>
        <v>24.771829700000001</v>
      </c>
    </row>
    <row r="11" spans="1:14" ht="12.75" customHeight="1" x14ac:dyDescent="0.25">
      <c r="A11" s="40" t="s">
        <v>207</v>
      </c>
      <c r="B11" s="40">
        <v>-4367.5725400000001</v>
      </c>
      <c r="C11" s="40">
        <v>8199.3464499999991</v>
      </c>
      <c r="D11" s="41">
        <v>-7928.3436499999998</v>
      </c>
      <c r="E11" s="41">
        <v>0</v>
      </c>
      <c r="M11" s="43" t="s">
        <v>208</v>
      </c>
      <c r="N11" s="40">
        <f>H6+C23+C18</f>
        <v>372.91191357051196</v>
      </c>
    </row>
    <row r="12" spans="1:14" ht="14.25" customHeight="1" x14ac:dyDescent="0.25">
      <c r="A12" s="40" t="s">
        <v>193</v>
      </c>
      <c r="B12" s="41" t="s">
        <v>196</v>
      </c>
      <c r="C12" s="41" t="s">
        <v>196</v>
      </c>
      <c r="D12" s="41" t="s">
        <v>196</v>
      </c>
      <c r="E12" s="41" t="s">
        <v>196</v>
      </c>
      <c r="M12" s="43" t="s">
        <v>209</v>
      </c>
      <c r="N12" s="40">
        <f>SUM(N6:N11)</f>
        <v>723.96122773051195</v>
      </c>
    </row>
    <row r="13" spans="1:14" ht="12" customHeight="1" x14ac:dyDescent="0.25">
      <c r="A13" s="40" t="s">
        <v>195</v>
      </c>
      <c r="B13" s="41">
        <f>B11*0.0041868</f>
        <v>-18.286152710472003</v>
      </c>
      <c r="C13" s="41">
        <f t="shared" ref="C13:E13" si="1">C11*0.0041868</f>
        <v>34.32902371686</v>
      </c>
      <c r="D13" s="41">
        <f t="shared" si="1"/>
        <v>-33.194389193820001</v>
      </c>
      <c r="E13" s="41">
        <f t="shared" si="1"/>
        <v>0</v>
      </c>
      <c r="M13" s="43" t="s">
        <v>210</v>
      </c>
      <c r="N13" s="40">
        <v>0</v>
      </c>
    </row>
    <row r="14" spans="1:14" x14ac:dyDescent="0.25">
      <c r="M14" s="45" t="s">
        <v>211</v>
      </c>
      <c r="N14" s="45">
        <f>N12-N13</f>
        <v>723.96122773051195</v>
      </c>
    </row>
    <row r="15" spans="1:14" ht="17.399999999999999" x14ac:dyDescent="0.3">
      <c r="A15" s="57" t="s">
        <v>212</v>
      </c>
      <c r="B15" s="57"/>
      <c r="C15" s="57"/>
      <c r="D15" s="57"/>
      <c r="M15" s="40" t="s">
        <v>213</v>
      </c>
      <c r="N15" s="40">
        <f>D6</f>
        <v>-340.50509156051999</v>
      </c>
    </row>
    <row r="16" spans="1:14" x14ac:dyDescent="0.25">
      <c r="A16" s="40" t="s">
        <v>182</v>
      </c>
      <c r="B16" s="40" t="s">
        <v>214</v>
      </c>
      <c r="C16" s="40" t="s">
        <v>215</v>
      </c>
      <c r="D16" s="40" t="s">
        <v>216</v>
      </c>
      <c r="M16" s="40" t="s">
        <v>217</v>
      </c>
      <c r="N16" s="40">
        <f>J6</f>
        <v>672.14032255440009</v>
      </c>
    </row>
    <row r="17" spans="1:14" x14ac:dyDescent="0.25">
      <c r="A17" s="40" t="s">
        <v>193</v>
      </c>
      <c r="B17" s="41" t="s">
        <v>196</v>
      </c>
      <c r="C17" s="41" t="s">
        <v>196</v>
      </c>
      <c r="D17" s="41" t="s">
        <v>196</v>
      </c>
      <c r="M17" s="40" t="s">
        <v>218</v>
      </c>
      <c r="N17" s="40">
        <v>0</v>
      </c>
    </row>
    <row r="18" spans="1:14" x14ac:dyDescent="0.25">
      <c r="A18" s="40" t="s">
        <v>219</v>
      </c>
      <c r="B18" s="40">
        <v>6.03635769</v>
      </c>
      <c r="C18" s="40">
        <v>10.9170511</v>
      </c>
      <c r="D18" s="40">
        <v>2.7126995699999998</v>
      </c>
      <c r="M18" s="40" t="s">
        <v>220</v>
      </c>
      <c r="N18" s="40">
        <f>C6</f>
        <v>-700.69641707520009</v>
      </c>
    </row>
    <row r="19" spans="1:14" x14ac:dyDescent="0.25">
      <c r="M19" s="40" t="s">
        <v>221</v>
      </c>
      <c r="N19" s="40">
        <f>I6</f>
        <v>380.68246339524001</v>
      </c>
    </row>
    <row r="20" spans="1:14" ht="17.399999999999999" x14ac:dyDescent="0.3">
      <c r="A20" s="57" t="s">
        <v>222</v>
      </c>
      <c r="B20" s="57"/>
      <c r="C20" s="57"/>
      <c r="D20" s="46"/>
      <c r="M20" s="40" t="s">
        <v>223</v>
      </c>
      <c r="N20" s="40">
        <f>K6</f>
        <v>1549.4018788908002</v>
      </c>
    </row>
    <row r="21" spans="1:14" ht="17.399999999999999" x14ac:dyDescent="0.3">
      <c r="A21" s="47" t="s">
        <v>182</v>
      </c>
      <c r="B21" s="47" t="s">
        <v>224</v>
      </c>
      <c r="C21" s="47" t="s">
        <v>225</v>
      </c>
      <c r="D21" s="48"/>
      <c r="M21" s="40" t="s">
        <v>226</v>
      </c>
      <c r="N21" s="40">
        <f>C38</f>
        <v>-672.14032255440009</v>
      </c>
    </row>
    <row r="22" spans="1:14" x14ac:dyDescent="0.25">
      <c r="A22" s="40" t="s">
        <v>193</v>
      </c>
      <c r="B22" s="41" t="s">
        <v>196</v>
      </c>
      <c r="C22" s="41" t="s">
        <v>196</v>
      </c>
      <c r="M22" s="40" t="s">
        <v>227</v>
      </c>
      <c r="N22" s="40">
        <f>B6</f>
        <v>-1720.6477013123999</v>
      </c>
    </row>
    <row r="23" spans="1:14" x14ac:dyDescent="0.25">
      <c r="A23" t="s">
        <v>219</v>
      </c>
      <c r="B23">
        <v>24.771829700000001</v>
      </c>
      <c r="C23">
        <v>328.377568</v>
      </c>
      <c r="M23" s="40" t="s">
        <v>228</v>
      </c>
      <c r="N23" s="40">
        <f>(SUM(N15+N18+N21+N22))*-1</f>
        <v>3433.98953250252</v>
      </c>
    </row>
    <row r="24" spans="1:14" x14ac:dyDescent="0.25">
      <c r="M24" s="40" t="s">
        <v>229</v>
      </c>
      <c r="N24" s="40">
        <f>(N16+N17+N19+N20)</f>
        <v>2602.2246648404403</v>
      </c>
    </row>
    <row r="25" spans="1:14" ht="17.399999999999999" x14ac:dyDescent="0.3">
      <c r="A25" s="57" t="s">
        <v>230</v>
      </c>
      <c r="B25" s="57"/>
      <c r="C25" s="57"/>
      <c r="D25" s="57"/>
      <c r="M25" s="45" t="s">
        <v>231</v>
      </c>
      <c r="N25" s="45">
        <f>N23-N24</f>
        <v>831.76486766207972</v>
      </c>
    </row>
    <row r="26" spans="1:14" x14ac:dyDescent="0.25">
      <c r="A26" s="40" t="s">
        <v>182</v>
      </c>
      <c r="B26" s="40" t="s">
        <v>232</v>
      </c>
      <c r="C26" s="40" t="s">
        <v>233</v>
      </c>
      <c r="D26" s="40" t="s">
        <v>234</v>
      </c>
    </row>
    <row r="27" spans="1:14" x14ac:dyDescent="0.25">
      <c r="A27" s="40" t="s">
        <v>193</v>
      </c>
      <c r="B27" s="41" t="s">
        <v>194</v>
      </c>
      <c r="C27" s="41" t="s">
        <v>194</v>
      </c>
      <c r="D27" s="41" t="s">
        <v>194</v>
      </c>
    </row>
    <row r="28" spans="1:14" x14ac:dyDescent="0.25">
      <c r="A28" s="40" t="s">
        <v>195</v>
      </c>
      <c r="B28" s="40">
        <v>0</v>
      </c>
      <c r="C28" s="40">
        <v>0</v>
      </c>
      <c r="D28" s="40">
        <v>226318.66899999999</v>
      </c>
    </row>
    <row r="29" spans="1:14" x14ac:dyDescent="0.25">
      <c r="A29" s="40" t="s">
        <v>193</v>
      </c>
      <c r="B29" s="41" t="s">
        <v>196</v>
      </c>
      <c r="C29" s="41" t="s">
        <v>196</v>
      </c>
      <c r="D29" s="41" t="s">
        <v>196</v>
      </c>
    </row>
    <row r="30" spans="1:14" x14ac:dyDescent="0.25">
      <c r="A30" s="40" t="s">
        <v>195</v>
      </c>
      <c r="B30" s="41">
        <f>B28*0.0041868</f>
        <v>0</v>
      </c>
      <c r="C30" s="41">
        <f t="shared" ref="C30:D30" si="2">C28*0.0041868</f>
        <v>0</v>
      </c>
      <c r="D30" s="41">
        <f t="shared" si="2"/>
        <v>947.55100336919998</v>
      </c>
    </row>
    <row r="31" spans="1:14" x14ac:dyDescent="0.25">
      <c r="A31" s="49"/>
      <c r="B31" s="50"/>
      <c r="C31" s="50"/>
      <c r="D31" s="51"/>
    </row>
    <row r="32" spans="1:14" x14ac:dyDescent="0.25">
      <c r="A32" s="57" t="s">
        <v>235</v>
      </c>
      <c r="B32" s="57"/>
      <c r="C32" s="57"/>
    </row>
    <row r="33" spans="1:3" x14ac:dyDescent="0.25">
      <c r="A33" s="57"/>
      <c r="B33" s="57"/>
      <c r="C33" s="57"/>
    </row>
    <row r="34" spans="1:3" x14ac:dyDescent="0.25">
      <c r="A34" s="40" t="s">
        <v>182</v>
      </c>
      <c r="B34" s="40" t="s">
        <v>236</v>
      </c>
      <c r="C34" s="40" t="s">
        <v>237</v>
      </c>
    </row>
    <row r="35" spans="1:3" x14ac:dyDescent="0.25">
      <c r="A35" s="40" t="s">
        <v>193</v>
      </c>
      <c r="B35" s="41" t="s">
        <v>194</v>
      </c>
      <c r="C35" s="41" t="s">
        <v>194</v>
      </c>
    </row>
    <row r="36" spans="1:3" x14ac:dyDescent="0.25">
      <c r="A36" s="40" t="s">
        <v>195</v>
      </c>
      <c r="B36" s="40">
        <v>-226318.66899999999</v>
      </c>
      <c r="C36" s="40">
        <v>-160537.95800000001</v>
      </c>
    </row>
    <row r="37" spans="1:3" x14ac:dyDescent="0.25">
      <c r="A37" s="40" t="s">
        <v>193</v>
      </c>
      <c r="B37" s="41" t="s">
        <v>196</v>
      </c>
      <c r="C37" s="41" t="s">
        <v>196</v>
      </c>
    </row>
    <row r="38" spans="1:3" x14ac:dyDescent="0.25">
      <c r="A38" s="40" t="s">
        <v>195</v>
      </c>
      <c r="B38" s="41">
        <f>B36*0.0041868</f>
        <v>-947.55100336919998</v>
      </c>
      <c r="C38" s="41">
        <f t="shared" ref="C38" si="3">C36*0.0041868</f>
        <v>-672.14032255440009</v>
      </c>
    </row>
    <row r="40" spans="1:3" x14ac:dyDescent="0.25">
      <c r="A40" s="57" t="s">
        <v>238</v>
      </c>
      <c r="B40" s="57"/>
      <c r="C40" s="57"/>
    </row>
    <row r="41" spans="1:3" x14ac:dyDescent="0.25">
      <c r="A41" s="57"/>
      <c r="B41" s="57"/>
      <c r="C41" s="57"/>
    </row>
    <row r="42" spans="1:3" x14ac:dyDescent="0.25">
      <c r="A42" s="40" t="s">
        <v>193</v>
      </c>
      <c r="B42" s="41" t="s">
        <v>196</v>
      </c>
      <c r="C42" s="41" t="s">
        <v>196</v>
      </c>
    </row>
    <row r="43" spans="1:3" x14ac:dyDescent="0.25">
      <c r="A43" s="40" t="s">
        <v>239</v>
      </c>
      <c r="B43" s="40">
        <v>90.826611200000002</v>
      </c>
      <c r="C43" s="40">
        <v>226.70181600000001</v>
      </c>
    </row>
  </sheetData>
  <mergeCells count="7">
    <mergeCell ref="A40:C41"/>
    <mergeCell ref="A1:K1"/>
    <mergeCell ref="A8:C8"/>
    <mergeCell ref="A15:D15"/>
    <mergeCell ref="A20:C20"/>
    <mergeCell ref="A25:D25"/>
    <mergeCell ref="A32:C3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9"/>
  <sheetViews>
    <sheetView zoomScale="49" zoomScaleNormal="85" workbookViewId="0">
      <pane ySplit="1836" topLeftCell="A12" activePane="bottomLeft"/>
      <selection sqref="A1:XFD1048576"/>
      <selection pane="bottomLeft" activeCell="E30" sqref="E30"/>
    </sheetView>
  </sheetViews>
  <sheetFormatPr defaultRowHeight="15" x14ac:dyDescent="0.25"/>
  <cols>
    <col min="1" max="1" width="47.6328125" customWidth="1"/>
    <col min="2" max="2" width="15.7265625" customWidth="1"/>
    <col min="3" max="3" width="12.08984375" customWidth="1"/>
    <col min="4" max="4" width="11.1796875" bestFit="1" customWidth="1"/>
    <col min="5" max="5" width="11.81640625" bestFit="1" customWidth="1"/>
    <col min="6" max="6" width="12.6328125" bestFit="1" customWidth="1"/>
    <col min="7" max="7" width="13.1796875" bestFit="1" customWidth="1"/>
    <col min="8" max="8" width="10.7265625" bestFit="1" customWidth="1"/>
  </cols>
  <sheetData>
    <row r="1" spans="1:22" ht="38.549999999999997" customHeight="1" x14ac:dyDescent="0.25">
      <c r="B1" s="58" t="s">
        <v>242</v>
      </c>
      <c r="C1" s="58"/>
    </row>
    <row r="2" spans="1:22" x14ac:dyDescent="0.25">
      <c r="B2" s="27" t="s">
        <v>134</v>
      </c>
      <c r="C2" s="27" t="s">
        <v>135</v>
      </c>
      <c r="D2" s="27" t="s">
        <v>79</v>
      </c>
      <c r="E2" s="27" t="s">
        <v>78</v>
      </c>
      <c r="F2" s="27" t="s">
        <v>77</v>
      </c>
      <c r="G2" s="27" t="s">
        <v>80</v>
      </c>
      <c r="H2" s="27" t="s">
        <v>81</v>
      </c>
    </row>
    <row r="3" spans="1:22" x14ac:dyDescent="0.25">
      <c r="A3" t="s">
        <v>76</v>
      </c>
      <c r="B3" s="27" t="s">
        <v>82</v>
      </c>
      <c r="C3" s="27" t="s">
        <v>82</v>
      </c>
      <c r="D3" s="27" t="s">
        <v>84</v>
      </c>
      <c r="E3" s="27" t="s">
        <v>83</v>
      </c>
      <c r="F3" s="27" t="s">
        <v>85</v>
      </c>
      <c r="G3" s="27" t="s">
        <v>85</v>
      </c>
      <c r="H3" s="27" t="s">
        <v>85</v>
      </c>
    </row>
    <row r="4" spans="1:22" x14ac:dyDescent="0.25">
      <c r="A4" t="s">
        <v>86</v>
      </c>
      <c r="B4" s="27">
        <f>'OurWork(a)'!B32</f>
        <v>50</v>
      </c>
      <c r="C4" s="27">
        <f>'OurWork(b)'!B32</f>
        <v>50</v>
      </c>
      <c r="D4" s="27">
        <f>Fendt!B32</f>
        <v>20</v>
      </c>
      <c r="E4" s="27">
        <f>Tremel!B32</f>
        <v>25</v>
      </c>
      <c r="F4" s="27">
        <f>Meijden!B33</f>
        <v>15</v>
      </c>
      <c r="G4" s="27">
        <f>Gassner!B32</f>
        <v>50</v>
      </c>
      <c r="H4" s="27">
        <f>Duret!B32</f>
        <v>0</v>
      </c>
    </row>
    <row r="5" spans="1:22" x14ac:dyDescent="0.25">
      <c r="A5" t="s">
        <v>87</v>
      </c>
      <c r="B5" s="27"/>
      <c r="C5" s="27"/>
      <c r="D5" s="27"/>
      <c r="E5" s="27"/>
      <c r="F5" s="27"/>
      <c r="G5" s="27"/>
      <c r="H5" s="27"/>
    </row>
    <row r="6" spans="1:22" x14ac:dyDescent="0.25">
      <c r="A6" t="s">
        <v>88</v>
      </c>
      <c r="B6" s="28">
        <f>'OurWork(a)'!B6</f>
        <v>49.07</v>
      </c>
      <c r="C6" s="28">
        <f>'OurWork(b)'!B6</f>
        <v>49.07</v>
      </c>
      <c r="D6" s="28">
        <f>Fendt!B6</f>
        <v>47.97</v>
      </c>
      <c r="E6" s="28">
        <f>Tremel!B6</f>
        <v>49.8</v>
      </c>
      <c r="F6" s="28">
        <f>Meijden!B6</f>
        <v>50.187981201879822</v>
      </c>
      <c r="G6" s="28">
        <f>Gassner!B6</f>
        <v>50.6</v>
      </c>
      <c r="H6" s="28">
        <f>Duret!B6</f>
        <v>47.422150084747841</v>
      </c>
    </row>
    <row r="7" spans="1:22" x14ac:dyDescent="0.25">
      <c r="A7" t="s">
        <v>89</v>
      </c>
      <c r="B7" s="28">
        <f>'OurWork(a)'!B7</f>
        <v>6.48</v>
      </c>
      <c r="C7" s="28">
        <f>'OurWork(b)'!B7</f>
        <v>6.48</v>
      </c>
      <c r="D7" s="28">
        <f>Fendt!B7</f>
        <v>5.78</v>
      </c>
      <c r="E7" s="28">
        <f>Tremel!B7</f>
        <v>6.3</v>
      </c>
      <c r="F7" s="28">
        <f>Meijden!B7</f>
        <v>6.0383961603839627</v>
      </c>
      <c r="G7" s="28">
        <f>Gassner!B7</f>
        <v>5.7</v>
      </c>
      <c r="H7" s="28">
        <f>Duret!B7</f>
        <v>6.2479307924590062</v>
      </c>
    </row>
    <row r="8" spans="1:22" x14ac:dyDescent="0.25">
      <c r="A8" t="s">
        <v>90</v>
      </c>
      <c r="B8" s="28">
        <f>'OurWork(a)'!B8</f>
        <v>38.29</v>
      </c>
      <c r="C8" s="28">
        <f>'OurWork(b)'!B8</f>
        <v>38.29</v>
      </c>
      <c r="D8" s="28">
        <f>Fendt!B8</f>
        <v>45.39</v>
      </c>
      <c r="E8" s="28">
        <f>Tremel!B8</f>
        <v>43.2</v>
      </c>
      <c r="F8" s="28">
        <f>Meijden!B8</f>
        <v>42.367763223677635</v>
      </c>
      <c r="G8" s="28">
        <f>Gassner!B8</f>
        <v>42.5</v>
      </c>
      <c r="H8" s="28">
        <f>Duret!B8</f>
        <v>46.329716430283767</v>
      </c>
    </row>
    <row r="9" spans="1:22" x14ac:dyDescent="0.25">
      <c r="A9" t="s">
        <v>91</v>
      </c>
      <c r="B9" s="28">
        <f>'OurWork(a)'!B9</f>
        <v>0.7</v>
      </c>
      <c r="C9" s="28">
        <f>'OurWork(b)'!B9</f>
        <v>0.7</v>
      </c>
      <c r="D9" s="28">
        <f>Fendt!B9</f>
        <v>0.22</v>
      </c>
      <c r="E9" s="28">
        <f>Tremel!B9</f>
        <v>0.13</v>
      </c>
      <c r="F9" s="28">
        <f>Meijden!B9</f>
        <v>0.29697030296970306</v>
      </c>
      <c r="G9" s="28">
        <f>Gassner!B9</f>
        <v>0.2</v>
      </c>
      <c r="H9" s="28">
        <f>Duret!B9</f>
        <v>2.0269250938249149E-4</v>
      </c>
    </row>
    <row r="10" spans="1:22" x14ac:dyDescent="0.25">
      <c r="A10" t="s">
        <v>92</v>
      </c>
      <c r="B10" s="28">
        <f>'OurWork(a)'!B10</f>
        <v>0.1</v>
      </c>
      <c r="C10" s="28">
        <f>'OurWork(b)'!B10</f>
        <v>0.1</v>
      </c>
      <c r="D10" s="28">
        <f>Fendt!B10</f>
        <v>0.03</v>
      </c>
      <c r="E10" s="28">
        <f>Tremel!B10</f>
        <v>0</v>
      </c>
      <c r="F10" s="28">
        <f>Meijden!B10</f>
        <v>5.9394060593940617E-2</v>
      </c>
      <c r="G10" s="28">
        <f>Gassner!B10</f>
        <v>0</v>
      </c>
      <c r="H10" s="28">
        <f>Duret!B10</f>
        <v>0</v>
      </c>
      <c r="V10" t="s">
        <v>20</v>
      </c>
    </row>
    <row r="11" spans="1:22" x14ac:dyDescent="0.25">
      <c r="A11" t="s">
        <v>128</v>
      </c>
      <c r="B11" s="27">
        <v>0</v>
      </c>
      <c r="C11" s="27">
        <v>0</v>
      </c>
      <c r="D11" s="27">
        <v>0</v>
      </c>
      <c r="E11" s="27">
        <v>0</v>
      </c>
      <c r="F11" s="28">
        <f>Meijden!B11</f>
        <v>4.949505049495051E-2</v>
      </c>
      <c r="G11" s="27">
        <v>0</v>
      </c>
      <c r="H11" s="27">
        <v>0</v>
      </c>
    </row>
    <row r="12" spans="1:22" x14ac:dyDescent="0.25">
      <c r="A12" t="s">
        <v>127</v>
      </c>
      <c r="B12" s="28">
        <f>'OurWork(a)'!B13</f>
        <v>5.36</v>
      </c>
      <c r="C12" s="28">
        <f>'OurWork(b)'!B13</f>
        <v>5.36</v>
      </c>
      <c r="D12" s="28">
        <f>Fendt!B13</f>
        <v>0.60999999999999943</v>
      </c>
      <c r="E12" s="28">
        <f>Tremel!B13</f>
        <v>0.57000000000000739</v>
      </c>
      <c r="F12" s="28">
        <f>Meijden!B14</f>
        <v>1</v>
      </c>
      <c r="G12" s="28">
        <f>Gassner!B13</f>
        <v>0.99999999999998579</v>
      </c>
      <c r="H12" s="28">
        <f>Duret!B13</f>
        <v>0</v>
      </c>
    </row>
    <row r="13" spans="1:22" ht="18.600000000000001" x14ac:dyDescent="0.4">
      <c r="A13" t="s">
        <v>32</v>
      </c>
      <c r="B13" s="27" t="s">
        <v>136</v>
      </c>
      <c r="C13" s="27" t="s">
        <v>136</v>
      </c>
      <c r="D13" s="27" t="s">
        <v>133</v>
      </c>
      <c r="E13" s="27" t="s">
        <v>132</v>
      </c>
      <c r="F13" s="27" t="s">
        <v>131</v>
      </c>
      <c r="G13" s="27" t="s">
        <v>130</v>
      </c>
      <c r="H13" s="27" t="s">
        <v>129</v>
      </c>
      <c r="V13" t="s">
        <v>21</v>
      </c>
    </row>
    <row r="14" spans="1:22" x14ac:dyDescent="0.25">
      <c r="A14" t="s">
        <v>137</v>
      </c>
    </row>
    <row r="15" spans="1:22" x14ac:dyDescent="0.25">
      <c r="A15" t="s">
        <v>56</v>
      </c>
      <c r="B15" s="28">
        <f>'OurWork(a)'!B35</f>
        <v>8.4152146999999999</v>
      </c>
      <c r="C15" s="28">
        <f>'OurWork(b)'!B35</f>
        <v>8.4152146999999999</v>
      </c>
      <c r="D15" s="28">
        <f>Fendt!B35</f>
        <v>13.577257120000002</v>
      </c>
      <c r="E15" s="52">
        <f>Tremel!B37</f>
        <v>14.55</v>
      </c>
      <c r="F15" s="28">
        <f>Meijden!B38</f>
        <v>15.98</v>
      </c>
      <c r="G15" s="28">
        <f>Gassner!B37</f>
        <v>9.3000000000000007</v>
      </c>
      <c r="H15" s="28">
        <f>Duret!B37</f>
        <v>18.2</v>
      </c>
      <c r="V15" t="s">
        <v>95</v>
      </c>
    </row>
    <row r="17" spans="1:22" x14ac:dyDescent="0.25">
      <c r="A17" t="s">
        <v>177</v>
      </c>
      <c r="B17" s="36">
        <f>'OurWork(a)'!B59</f>
        <v>25.534851621808141</v>
      </c>
      <c r="C17" s="36">
        <f>'OurWork(b)'!B59</f>
        <v>19.2</v>
      </c>
      <c r="D17" s="36">
        <f>Fendt!B60</f>
        <v>20.463145853120718</v>
      </c>
      <c r="E17" s="36">
        <f>Tremel!B60</f>
        <v>28.190797506229725</v>
      </c>
      <c r="F17" s="36" t="s">
        <v>93</v>
      </c>
      <c r="G17" s="36">
        <f>Gassner!B62</f>
        <v>27.395381337466095</v>
      </c>
      <c r="H17" s="36">
        <f>Duret!B48</f>
        <v>21.154308617234467</v>
      </c>
    </row>
    <row r="18" spans="1:22" x14ac:dyDescent="0.25">
      <c r="A18" t="s">
        <v>174</v>
      </c>
      <c r="B18" s="36">
        <f>'OurWork(a)'!B58</f>
        <v>36.057607083244882</v>
      </c>
      <c r="C18" s="36">
        <f>'OurWork(b)'!B30</f>
        <v>36.057607083244882</v>
      </c>
      <c r="D18" s="36">
        <f>Fendt!B30</f>
        <v>32.151577421623173</v>
      </c>
      <c r="E18" s="36">
        <f>Tremel!B30</f>
        <v>34.956502656614532</v>
      </c>
      <c r="F18" s="36">
        <f>Meijden!B31</f>
        <v>34.90481218495389</v>
      </c>
      <c r="G18" s="36">
        <f>Gassner!B30</f>
        <v>34.474772386331317</v>
      </c>
      <c r="H18" s="36">
        <f>Duret!B30</f>
        <v>32.479401661029002</v>
      </c>
    </row>
    <row r="19" spans="1:22" ht="30" x14ac:dyDescent="0.25">
      <c r="A19" s="39" t="s">
        <v>178</v>
      </c>
      <c r="B19" s="36">
        <f>'OurWork(a)'!B60</f>
        <v>70.816822544149304</v>
      </c>
      <c r="C19" s="36">
        <f>'OurWork(b)'!B60</f>
        <v>53.24812585503431</v>
      </c>
      <c r="D19" s="36">
        <f>Fendt!B61</f>
        <v>63.645853467078929</v>
      </c>
      <c r="E19" s="36">
        <f>Tremel!B61</f>
        <v>80.645360272891637</v>
      </c>
      <c r="F19" s="36" t="s">
        <v>93</v>
      </c>
      <c r="G19" s="36">
        <f>Gassner!B63</f>
        <v>79.465010038261823</v>
      </c>
      <c r="H19" s="36">
        <f>Duret!B49</f>
        <v>65.131460357586718</v>
      </c>
    </row>
    <row r="20" spans="1:22" x14ac:dyDescent="0.25">
      <c r="A20" t="s">
        <v>179</v>
      </c>
      <c r="B20" s="27"/>
      <c r="C20" s="27"/>
      <c r="D20" s="27"/>
      <c r="E20" s="27"/>
      <c r="F20" s="27"/>
      <c r="G20" s="27"/>
      <c r="H20" s="27"/>
    </row>
    <row r="21" spans="1:22" x14ac:dyDescent="0.25">
      <c r="A21" t="s">
        <v>173</v>
      </c>
      <c r="B21" s="36">
        <f>'OurWork(a)'!B64</f>
        <v>106.90604206770385</v>
      </c>
      <c r="C21" s="36">
        <f>'OurWork(b)'!B64</f>
        <v>106.90604206770385</v>
      </c>
      <c r="D21" s="36">
        <f>Fendt!B65</f>
        <v>97.043019104128021</v>
      </c>
      <c r="E21" s="36">
        <f>Tremel!B65</f>
        <v>89.913890853869319</v>
      </c>
      <c r="F21" s="36" t="s">
        <v>93</v>
      </c>
      <c r="G21" s="36">
        <f>Gassner!B67</f>
        <v>92.488771079458729</v>
      </c>
      <c r="H21" s="36">
        <f>Duret!B53</f>
        <v>89.050667191502583</v>
      </c>
    </row>
    <row r="22" spans="1:22" x14ac:dyDescent="0.25">
      <c r="A22" t="s">
        <v>175</v>
      </c>
      <c r="B22" s="36">
        <f>'OurWork(a)'!B63</f>
        <v>72.73504273504274</v>
      </c>
      <c r="C22" s="36">
        <f>'OurWork(b)'!B63</f>
        <v>56.615384615384613</v>
      </c>
      <c r="D22" s="36">
        <f>Fendt!B64</f>
        <v>61.763857739042713</v>
      </c>
      <c r="E22" s="36">
        <f>Tremel!B64</f>
        <v>72.511381214477495</v>
      </c>
      <c r="F22" s="36" t="s">
        <v>93</v>
      </c>
      <c r="G22" s="36">
        <f>Gassner!B66</f>
        <v>73.49621122255688</v>
      </c>
      <c r="H22" s="36">
        <f>Duret!B52</f>
        <v>58</v>
      </c>
    </row>
    <row r="23" spans="1:22" x14ac:dyDescent="0.25">
      <c r="A23" t="s">
        <v>176</v>
      </c>
      <c r="B23" s="36">
        <f>'OurWork(a)'!B65</f>
        <v>74.655006457167445</v>
      </c>
      <c r="C23" s="36">
        <f>'OurWork(b)'!B65</f>
        <v>57.077350427350417</v>
      </c>
      <c r="D23" s="36">
        <f>Fendt!B66</f>
        <v>62.540000000000006</v>
      </c>
      <c r="E23" s="36">
        <f>Tremel!B66</f>
        <v>73.700000000000017</v>
      </c>
      <c r="F23" s="36" t="s">
        <v>169</v>
      </c>
      <c r="G23" s="36">
        <f>Gassner!B68</f>
        <v>73.825000000000003</v>
      </c>
      <c r="H23" s="36" t="s">
        <v>93</v>
      </c>
    </row>
    <row r="24" spans="1:22" x14ac:dyDescent="0.25">
      <c r="A24" t="s">
        <v>180</v>
      </c>
      <c r="B24" s="36"/>
      <c r="C24" s="29"/>
      <c r="D24" s="29"/>
      <c r="E24" s="29"/>
      <c r="F24" s="29"/>
      <c r="G24" s="29"/>
      <c r="H24" s="29"/>
    </row>
    <row r="25" spans="1:22" x14ac:dyDescent="0.25">
      <c r="A25" t="s">
        <v>168</v>
      </c>
      <c r="B25" s="36">
        <f>'OurWork(a)'!B70</f>
        <v>74.765013054830291</v>
      </c>
      <c r="C25" s="36">
        <f>'OurWork(b)'!B70</f>
        <v>80.648243801652896</v>
      </c>
      <c r="D25" s="27" t="s">
        <v>160</v>
      </c>
      <c r="E25" s="27" t="s">
        <v>162</v>
      </c>
      <c r="F25" s="36" t="s">
        <v>93</v>
      </c>
      <c r="G25" s="36" t="s">
        <v>93</v>
      </c>
      <c r="H25" s="36" t="s">
        <v>93</v>
      </c>
    </row>
    <row r="27" spans="1:22" x14ac:dyDescent="0.25">
      <c r="V27" t="s">
        <v>96</v>
      </c>
    </row>
    <row r="28" spans="1:22" x14ac:dyDescent="0.25">
      <c r="A28" t="s">
        <v>165</v>
      </c>
    </row>
    <row r="29" spans="1:22" x14ac:dyDescent="0.25">
      <c r="A29" t="s">
        <v>159</v>
      </c>
    </row>
  </sheetData>
  <mergeCells count="1">
    <mergeCell ref="B1:C1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3321" r:id="rId4">
          <objectPr defaultSize="0" autoPict="0" r:id="rId5">
            <anchor moveWithCells="1" sizeWithCells="1">
              <from>
                <xdr:col>21</xdr:col>
                <xdr:colOff>76200</xdr:colOff>
                <xdr:row>15</xdr:row>
                <xdr:rowOff>0</xdr:rowOff>
              </from>
              <to>
                <xdr:col>27</xdr:col>
                <xdr:colOff>472440</xdr:colOff>
                <xdr:row>16</xdr:row>
                <xdr:rowOff>129540</xdr:rowOff>
              </to>
            </anchor>
          </objectPr>
        </oleObject>
      </mc:Choice>
      <mc:Fallback>
        <oleObject progId="Equation.3" shapeId="1332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30"/>
  <sheetViews>
    <sheetView tabSelected="1" workbookViewId="0">
      <selection activeCell="M21" sqref="M21"/>
    </sheetView>
  </sheetViews>
  <sheetFormatPr defaultRowHeight="15" x14ac:dyDescent="0.25"/>
  <sheetData>
    <row r="2" spans="1:4" x14ac:dyDescent="0.25">
      <c r="A2" t="s">
        <v>243</v>
      </c>
    </row>
    <row r="3" spans="1:4" x14ac:dyDescent="0.25">
      <c r="A3" s="53" t="s">
        <v>244</v>
      </c>
    </row>
    <row r="4" spans="1:4" x14ac:dyDescent="0.25">
      <c r="A4" t="s">
        <v>245</v>
      </c>
    </row>
    <row r="5" spans="1:4" x14ac:dyDescent="0.25">
      <c r="A5" s="53" t="s">
        <v>246</v>
      </c>
    </row>
    <row r="6" spans="1:4" x14ac:dyDescent="0.25">
      <c r="A6" s="53"/>
    </row>
    <row r="7" spans="1:4" x14ac:dyDescent="0.25">
      <c r="A7" s="54" t="s">
        <v>248</v>
      </c>
    </row>
    <row r="8" spans="1:4" ht="18" x14ac:dyDescent="0.25">
      <c r="A8" s="55" t="s">
        <v>247</v>
      </c>
    </row>
    <row r="9" spans="1:4" x14ac:dyDescent="0.25">
      <c r="A9" t="s">
        <v>249</v>
      </c>
    </row>
    <row r="10" spans="1:4" ht="15.6" x14ac:dyDescent="0.3">
      <c r="A10" s="56" t="s">
        <v>250</v>
      </c>
    </row>
    <row r="11" spans="1:4" x14ac:dyDescent="0.25">
      <c r="A11" t="s">
        <v>252</v>
      </c>
    </row>
    <row r="12" spans="1:4" x14ac:dyDescent="0.25">
      <c r="A12" s="53" t="s">
        <v>251</v>
      </c>
    </row>
    <row r="14" spans="1:4" ht="15.6" x14ac:dyDescent="0.3">
      <c r="A14" s="56" t="s">
        <v>253</v>
      </c>
    </row>
    <row r="15" spans="1:4" x14ac:dyDescent="0.25">
      <c r="A15" t="s">
        <v>3</v>
      </c>
    </row>
    <row r="16" spans="1:4" x14ac:dyDescent="0.25">
      <c r="A16">
        <v>28</v>
      </c>
      <c r="B16" t="s">
        <v>0</v>
      </c>
      <c r="D16" t="s">
        <v>1</v>
      </c>
    </row>
    <row r="17" spans="4:4" x14ac:dyDescent="0.25">
      <c r="D17" t="s">
        <v>2</v>
      </c>
    </row>
    <row r="18" spans="4:4" x14ac:dyDescent="0.25">
      <c r="D18" t="s">
        <v>4</v>
      </c>
    </row>
    <row r="19" spans="4:4" x14ac:dyDescent="0.25">
      <c r="D19" t="s">
        <v>5</v>
      </c>
    </row>
    <row r="20" spans="4:4" x14ac:dyDescent="0.25">
      <c r="D20" t="s">
        <v>6</v>
      </c>
    </row>
    <row r="21" spans="4:4" x14ac:dyDescent="0.25">
      <c r="D21" t="s">
        <v>7</v>
      </c>
    </row>
    <row r="22" spans="4:4" x14ac:dyDescent="0.25">
      <c r="D22" t="s">
        <v>8</v>
      </c>
    </row>
    <row r="23" spans="4:4" x14ac:dyDescent="0.25">
      <c r="D23" t="s">
        <v>9</v>
      </c>
    </row>
    <row r="24" spans="4:4" x14ac:dyDescent="0.25">
      <c r="D24" t="s">
        <v>10</v>
      </c>
    </row>
    <row r="25" spans="4:4" x14ac:dyDescent="0.25">
      <c r="D25" t="s">
        <v>11</v>
      </c>
    </row>
    <row r="26" spans="4:4" x14ac:dyDescent="0.25">
      <c r="D26" t="s">
        <v>12</v>
      </c>
    </row>
    <row r="37" spans="1:4" x14ac:dyDescent="0.25">
      <c r="D37" t="s">
        <v>14</v>
      </c>
    </row>
    <row r="38" spans="1:4" x14ac:dyDescent="0.25">
      <c r="D38" t="s">
        <v>13</v>
      </c>
    </row>
    <row r="43" spans="1:4" x14ac:dyDescent="0.25">
      <c r="D43" t="s">
        <v>15</v>
      </c>
    </row>
    <row r="45" spans="1:4" x14ac:dyDescent="0.25">
      <c r="D45" t="s">
        <v>16</v>
      </c>
    </row>
    <row r="48" spans="1:4" x14ac:dyDescent="0.25">
      <c r="A48">
        <v>34</v>
      </c>
      <c r="B48" t="s">
        <v>17</v>
      </c>
    </row>
    <row r="60" spans="1:2" x14ac:dyDescent="0.25">
      <c r="A60">
        <v>37</v>
      </c>
      <c r="B60" t="s">
        <v>18</v>
      </c>
    </row>
    <row r="77" spans="1:2" x14ac:dyDescent="0.25">
      <c r="A77">
        <v>38</v>
      </c>
      <c r="B77" t="s">
        <v>19</v>
      </c>
    </row>
    <row r="89" spans="2:2" x14ac:dyDescent="0.25">
      <c r="B89" t="s">
        <v>94</v>
      </c>
    </row>
    <row r="126" spans="2:2" x14ac:dyDescent="0.25">
      <c r="B126" t="s">
        <v>20</v>
      </c>
    </row>
    <row r="127" spans="2:2" x14ac:dyDescent="0.25">
      <c r="B127" t="s">
        <v>21</v>
      </c>
    </row>
    <row r="129" spans="2:2" x14ac:dyDescent="0.25">
      <c r="B129" t="s">
        <v>22</v>
      </c>
    </row>
    <row r="130" spans="2:2" x14ac:dyDescent="0.25">
      <c r="B130" t="s">
        <v>23</v>
      </c>
    </row>
  </sheetData>
  <hyperlinks>
    <hyperlink ref="A3" r:id="rId1" display="https://doi.org/10.5518/xxx"/>
    <hyperlink ref="A5" r:id="rId2"/>
    <hyperlink ref="A12" r:id="rId3"/>
  </hyperlinks>
  <pageMargins left="0.7" right="0.7" top="0.75" bottom="0.75" header="0.3" footer="0.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topLeftCell="J14" workbookViewId="0"/>
  </sheetViews>
  <sheetFormatPr defaultColWidth="8.81640625" defaultRowHeight="15" x14ac:dyDescent="0.25"/>
  <cols>
    <col min="1" max="1" width="22.1796875" style="3" customWidth="1"/>
    <col min="2" max="2" width="11" style="3" customWidth="1"/>
    <col min="3" max="16384" width="8.81640625" style="3"/>
  </cols>
  <sheetData>
    <row r="1" spans="1:11" x14ac:dyDescent="0.25">
      <c r="A1" s="24"/>
      <c r="B1" s="3" t="s">
        <v>31</v>
      </c>
    </row>
    <row r="2" spans="1:11" x14ac:dyDescent="0.25">
      <c r="A2" s="4"/>
      <c r="B2" s="3" t="s">
        <v>47</v>
      </c>
    </row>
    <row r="5" spans="1:11" x14ac:dyDescent="0.25">
      <c r="A5" s="3" t="s">
        <v>48</v>
      </c>
      <c r="B5" s="5" t="s">
        <v>32</v>
      </c>
      <c r="C5" s="5" t="s">
        <v>33</v>
      </c>
      <c r="D5" s="5" t="s">
        <v>34</v>
      </c>
      <c r="E5" s="5" t="s">
        <v>35</v>
      </c>
      <c r="F5" s="5" t="s">
        <v>36</v>
      </c>
      <c r="G5" s="5" t="s">
        <v>37</v>
      </c>
      <c r="H5" s="5" t="s">
        <v>38</v>
      </c>
      <c r="I5" s="5" t="s">
        <v>33</v>
      </c>
      <c r="J5" s="5" t="s">
        <v>39</v>
      </c>
      <c r="K5" s="5" t="s">
        <v>40</v>
      </c>
    </row>
    <row r="7" spans="1:11" x14ac:dyDescent="0.25">
      <c r="A7" s="3" t="s">
        <v>41</v>
      </c>
      <c r="B7" s="3" t="s">
        <v>42</v>
      </c>
      <c r="C7" s="26">
        <v>1</v>
      </c>
    </row>
    <row r="8" spans="1:11" x14ac:dyDescent="0.25">
      <c r="B8" s="3" t="s">
        <v>43</v>
      </c>
      <c r="C8" s="26">
        <v>1.35</v>
      </c>
    </row>
    <row r="9" spans="1:11" x14ac:dyDescent="0.25">
      <c r="B9" s="3" t="s">
        <v>44</v>
      </c>
      <c r="C9" s="26">
        <v>0.63</v>
      </c>
    </row>
    <row r="11" spans="1:11" x14ac:dyDescent="0.25">
      <c r="A11" s="3" t="s">
        <v>45</v>
      </c>
    </row>
    <row r="12" spans="1:11" x14ac:dyDescent="0.25">
      <c r="A12" s="3" t="s">
        <v>49</v>
      </c>
      <c r="B12" s="3" t="s">
        <v>34</v>
      </c>
      <c r="C12" s="6">
        <f>C7-(0.25*C8)-0.5*C9</f>
        <v>0.34749999999999998</v>
      </c>
    </row>
    <row r="13" spans="1:11" x14ac:dyDescent="0.25">
      <c r="B13" s="3" t="s">
        <v>37</v>
      </c>
      <c r="C13" s="7">
        <f>(0.5*C7)-(0.125*C8)+(0.25*C9)</f>
        <v>0.48875000000000002</v>
      </c>
    </row>
    <row r="14" spans="1:11" x14ac:dyDescent="0.25">
      <c r="B14" s="3" t="s">
        <v>39</v>
      </c>
      <c r="C14" s="7">
        <f>(0.5*C7)+(0.125*C8)-(0.25*C9)</f>
        <v>0.51124999999999998</v>
      </c>
    </row>
    <row r="17" spans="1:11" x14ac:dyDescent="0.25">
      <c r="A17" s="3" t="s">
        <v>46</v>
      </c>
    </row>
    <row r="18" spans="1:11" x14ac:dyDescent="0.25">
      <c r="A18" s="3" t="s">
        <v>48</v>
      </c>
      <c r="B18" s="5" t="s">
        <v>32</v>
      </c>
      <c r="C18" s="5" t="s">
        <v>33</v>
      </c>
      <c r="D18" s="8">
        <f>C12</f>
        <v>0.34749999999999998</v>
      </c>
      <c r="E18" s="5" t="s">
        <v>35</v>
      </c>
      <c r="F18" s="5" t="s">
        <v>36</v>
      </c>
      <c r="G18" s="8">
        <f>C13</f>
        <v>0.48875000000000002</v>
      </c>
      <c r="H18" s="5" t="s">
        <v>38</v>
      </c>
      <c r="I18" s="5" t="s">
        <v>33</v>
      </c>
      <c r="J18" s="8">
        <f>C14</f>
        <v>0.51124999999999998</v>
      </c>
      <c r="K18" s="5" t="s">
        <v>40</v>
      </c>
    </row>
    <row r="22" spans="1:11" x14ac:dyDescent="0.25">
      <c r="A22" s="10" t="s">
        <v>74</v>
      </c>
      <c r="B22" s="10" t="s">
        <v>50</v>
      </c>
      <c r="C22" s="10" t="s">
        <v>75</v>
      </c>
    </row>
    <row r="23" spans="1:11" x14ac:dyDescent="0.25">
      <c r="A23" s="10" t="s">
        <v>24</v>
      </c>
      <c r="B23" s="25">
        <v>1</v>
      </c>
      <c r="C23" s="11">
        <f>100*B23/$B$26</f>
        <v>33.557046979865774</v>
      </c>
    </row>
    <row r="24" spans="1:11" x14ac:dyDescent="0.25">
      <c r="A24" s="10" t="s">
        <v>25</v>
      </c>
      <c r="B24" s="25">
        <v>1.35</v>
      </c>
      <c r="C24" s="11">
        <f t="shared" ref="C24:C25" si="0">100*B24/$B$26</f>
        <v>45.302013422818796</v>
      </c>
    </row>
    <row r="25" spans="1:11" x14ac:dyDescent="0.25">
      <c r="A25" s="10" t="s">
        <v>27</v>
      </c>
      <c r="B25" s="25">
        <v>0.63</v>
      </c>
      <c r="C25" s="11">
        <f t="shared" si="0"/>
        <v>21.140939597315437</v>
      </c>
    </row>
    <row r="26" spans="1:11" x14ac:dyDescent="0.25">
      <c r="A26" s="10" t="s">
        <v>29</v>
      </c>
      <c r="B26" s="3">
        <f>SUM(B23:B25)</f>
        <v>2.98</v>
      </c>
      <c r="C26" s="3">
        <f>SUM(C23:C25)</f>
        <v>100.00000000000001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topLeftCell="A31" workbookViewId="0"/>
  </sheetViews>
  <sheetFormatPr defaultRowHeight="15" x14ac:dyDescent="0.25"/>
  <cols>
    <col min="1" max="1" width="46.08984375" bestFit="1" customWidth="1"/>
    <col min="3" max="3" width="10.26953125" bestFit="1" customWidth="1"/>
  </cols>
  <sheetData>
    <row r="1" spans="1:11" x14ac:dyDescent="0.25">
      <c r="A1" t="s">
        <v>138</v>
      </c>
    </row>
    <row r="2" spans="1:11" x14ac:dyDescent="0.25">
      <c r="A2" t="s">
        <v>70</v>
      </c>
      <c r="B2" s="12"/>
    </row>
    <row r="5" spans="1:11" x14ac:dyDescent="0.25">
      <c r="A5" t="s">
        <v>54</v>
      </c>
      <c r="B5" t="s">
        <v>30</v>
      </c>
      <c r="C5" t="s">
        <v>50</v>
      </c>
    </row>
    <row r="6" spans="1:11" x14ac:dyDescent="0.25">
      <c r="A6" t="s">
        <v>24</v>
      </c>
      <c r="B6" s="12">
        <v>47.97</v>
      </c>
      <c r="C6" s="2">
        <f>B6/12.01</f>
        <v>3.9941715237302247</v>
      </c>
      <c r="D6" s="1"/>
    </row>
    <row r="7" spans="1:11" x14ac:dyDescent="0.25">
      <c r="A7" t="s">
        <v>25</v>
      </c>
      <c r="B7" s="12">
        <v>5.78</v>
      </c>
      <c r="C7" s="2">
        <f>B7/1.01</f>
        <v>5.7227722772277225</v>
      </c>
      <c r="D7" s="1"/>
      <c r="E7" s="1"/>
    </row>
    <row r="8" spans="1:11" x14ac:dyDescent="0.25">
      <c r="A8" t="s">
        <v>27</v>
      </c>
      <c r="B8" s="12">
        <v>45.39</v>
      </c>
      <c r="C8" s="2">
        <f>B8/16</f>
        <v>2.836875</v>
      </c>
      <c r="D8" s="1"/>
      <c r="E8" s="1"/>
    </row>
    <row r="9" spans="1:11" x14ac:dyDescent="0.25">
      <c r="A9" t="s">
        <v>28</v>
      </c>
      <c r="B9" s="12">
        <v>0.22</v>
      </c>
      <c r="C9" s="2">
        <f>B9/14.01</f>
        <v>1.5703069236259814E-2</v>
      </c>
      <c r="D9" s="1"/>
    </row>
    <row r="10" spans="1:11" x14ac:dyDescent="0.25">
      <c r="A10" t="s">
        <v>26</v>
      </c>
      <c r="B10" s="12">
        <v>0.03</v>
      </c>
      <c r="C10" s="2">
        <f>B10/32.07</f>
        <v>9.3545369504209532E-4</v>
      </c>
      <c r="D10" s="1"/>
    </row>
    <row r="11" spans="1:11" x14ac:dyDescent="0.25">
      <c r="A11" t="s">
        <v>29</v>
      </c>
      <c r="B11" s="29">
        <f>SUM(B6:B10)</f>
        <v>99.39</v>
      </c>
      <c r="C11" s="2">
        <f>SUM(C6:C10)</f>
        <v>12.570457323889251</v>
      </c>
      <c r="D11" s="1"/>
    </row>
    <row r="13" spans="1:11" x14ac:dyDescent="0.25">
      <c r="A13" t="s">
        <v>98</v>
      </c>
      <c r="B13" s="30">
        <f>100-B11</f>
        <v>0.60999999999999943</v>
      </c>
    </row>
    <row r="14" spans="1:11" x14ac:dyDescent="0.25">
      <c r="B14" s="29"/>
    </row>
    <row r="15" spans="1:11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C6</f>
        <v>3.9941715237302247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>C7</f>
        <v>5.7227722772277225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>C8</f>
        <v>2.836875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1.145040954423294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1.990957977211647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2.0032135465185776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1.145040954423294</v>
      </c>
      <c r="E27" s="5" t="s">
        <v>35</v>
      </c>
      <c r="F27" s="5" t="s">
        <v>36</v>
      </c>
      <c r="G27" s="15">
        <f>C23</f>
        <v>1.990957977211647</v>
      </c>
      <c r="H27" s="5" t="s">
        <v>38</v>
      </c>
      <c r="I27" s="5" t="s">
        <v>33</v>
      </c>
      <c r="J27" s="15">
        <f>C24</f>
        <v>2.0032135465185776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J27*16.05</f>
        <v>32.151577421623173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20</v>
      </c>
      <c r="C32" t="s">
        <v>30</v>
      </c>
    </row>
    <row r="33" spans="1:5" x14ac:dyDescent="0.25">
      <c r="A33" t="s">
        <v>53</v>
      </c>
      <c r="B33" s="1">
        <f>0.3491*B6+1.17838*B7+0.1005*B10-0.1034*B8-0.0151*B9-0.0211*B13</f>
        <v>18.850859400000001</v>
      </c>
      <c r="C33" t="s">
        <v>61</v>
      </c>
    </row>
    <row r="34" spans="1:5" x14ac:dyDescent="0.25">
      <c r="A34" t="s">
        <v>55</v>
      </c>
      <c r="B34" s="1">
        <f>B33-2.44*(((B7/100)*0.018/0.002)+((B32/100)/(1-(B32/100))))</f>
        <v>16.971571400000002</v>
      </c>
      <c r="C34" t="s">
        <v>61</v>
      </c>
    </row>
    <row r="35" spans="1:5" x14ac:dyDescent="0.25">
      <c r="A35" t="s">
        <v>56</v>
      </c>
      <c r="B35" s="1">
        <f>B34*(1-(B32/100))</f>
        <v>13.577257120000002</v>
      </c>
      <c r="C35" t="s">
        <v>61</v>
      </c>
    </row>
    <row r="36" spans="1:5" x14ac:dyDescent="0.25">
      <c r="A36" t="s">
        <v>69</v>
      </c>
      <c r="B36" s="1">
        <f>B37/(1-(B32/100))</f>
        <v>16.532499999999999</v>
      </c>
      <c r="C36" t="s">
        <v>61</v>
      </c>
    </row>
    <row r="37" spans="1:5" x14ac:dyDescent="0.25">
      <c r="A37" t="s">
        <v>57</v>
      </c>
      <c r="B37" s="16">
        <v>13.226000000000001</v>
      </c>
      <c r="C37" t="s">
        <v>61</v>
      </c>
    </row>
    <row r="38" spans="1:5" x14ac:dyDescent="0.25">
      <c r="B38" s="29"/>
    </row>
    <row r="39" spans="1:5" x14ac:dyDescent="0.25">
      <c r="A39" t="s">
        <v>63</v>
      </c>
      <c r="B39" s="30">
        <v>10</v>
      </c>
      <c r="C39" t="s">
        <v>102</v>
      </c>
    </row>
    <row r="40" spans="1:5" x14ac:dyDescent="0.25">
      <c r="A40" t="s">
        <v>64</v>
      </c>
      <c r="B40" s="23">
        <v>6.2539999999999996</v>
      </c>
      <c r="C40" t="s">
        <v>102</v>
      </c>
    </row>
    <row r="41" spans="1:5" x14ac:dyDescent="0.25">
      <c r="A41" t="s">
        <v>122</v>
      </c>
      <c r="B41" s="2">
        <f>B39/B37</f>
        <v>0.7560864962951761</v>
      </c>
      <c r="C41" t="s">
        <v>60</v>
      </c>
    </row>
    <row r="42" spans="1:5" x14ac:dyDescent="0.25">
      <c r="A42" t="s">
        <v>123</v>
      </c>
      <c r="B42" s="2">
        <f>(1-B32/100)*B41</f>
        <v>0.60486919703614095</v>
      </c>
      <c r="C42" t="s">
        <v>60</v>
      </c>
    </row>
    <row r="45" spans="1:5" x14ac:dyDescent="0.25">
      <c r="A45" t="s">
        <v>114</v>
      </c>
      <c r="B45" t="s">
        <v>30</v>
      </c>
      <c r="C45" t="s">
        <v>73</v>
      </c>
      <c r="D45" t="s">
        <v>72</v>
      </c>
      <c r="E45" t="s">
        <v>51</v>
      </c>
    </row>
    <row r="46" spans="1:5" x14ac:dyDescent="0.25">
      <c r="A46" t="s">
        <v>40</v>
      </c>
      <c r="B46" s="17">
        <f>100*C46/$C$50</f>
        <v>89.021752557094104</v>
      </c>
      <c r="C46" s="1">
        <f>D46*16.05</f>
        <v>1470.1800000000003</v>
      </c>
      <c r="D46" s="1">
        <f>100*E46/$E$50</f>
        <v>91.600000000000009</v>
      </c>
      <c r="E46" s="16">
        <v>91.6</v>
      </c>
    </row>
    <row r="47" spans="1:5" x14ac:dyDescent="0.25">
      <c r="A47" t="s">
        <v>38</v>
      </c>
      <c r="B47" s="17">
        <f>100*C47/$C$50</f>
        <v>7.4616526711733195</v>
      </c>
      <c r="C47" s="1">
        <f>D47*44.01</f>
        <v>123.22800000000001</v>
      </c>
      <c r="D47" s="1">
        <f>100*E47/$E$50</f>
        <v>2.8000000000000003</v>
      </c>
      <c r="E47" s="16">
        <v>2.8</v>
      </c>
    </row>
    <row r="48" spans="1:5" x14ac:dyDescent="0.25">
      <c r="A48" t="s">
        <v>103</v>
      </c>
      <c r="B48" s="17">
        <f>100*C48/$C$50</f>
        <v>0.46479408822610452</v>
      </c>
      <c r="C48" s="1">
        <f>D48*2.02</f>
        <v>7.6760000000000019</v>
      </c>
      <c r="D48" s="1">
        <f>100*E48/$E$50</f>
        <v>3.8000000000000007</v>
      </c>
      <c r="E48" s="16">
        <v>3.8</v>
      </c>
    </row>
    <row r="49" spans="1:5" x14ac:dyDescent="0.25">
      <c r="A49" t="s">
        <v>104</v>
      </c>
      <c r="B49" s="17">
        <f>100*C49/$C$50</f>
        <v>3.0518006835064706</v>
      </c>
      <c r="C49" s="1">
        <f>D49*28</f>
        <v>50.400000000000006</v>
      </c>
      <c r="D49" s="1">
        <f>100*E49/$E$50</f>
        <v>1.8000000000000003</v>
      </c>
      <c r="E49" s="16">
        <v>1.8</v>
      </c>
    </row>
    <row r="50" spans="1:5" x14ac:dyDescent="0.25">
      <c r="A50" t="s">
        <v>29</v>
      </c>
      <c r="B50" s="29">
        <f>SUM(B46:B49)</f>
        <v>100</v>
      </c>
      <c r="C50" s="1">
        <f>SUM(C46:C49)</f>
        <v>1651.4840000000004</v>
      </c>
      <c r="D50" s="9">
        <f>SUM(D46:D49)</f>
        <v>100</v>
      </c>
      <c r="E50" s="9">
        <f>SUM(E46:E49)</f>
        <v>99.999999999999986</v>
      </c>
    </row>
    <row r="52" spans="1:5" x14ac:dyDescent="0.25">
      <c r="A52" t="s">
        <v>52</v>
      </c>
      <c r="B52" s="12">
        <v>49.9</v>
      </c>
      <c r="C52" t="s">
        <v>61</v>
      </c>
    </row>
    <row r="53" spans="1:5" x14ac:dyDescent="0.25">
      <c r="A53" t="s">
        <v>105</v>
      </c>
      <c r="B53" s="12">
        <v>120.1</v>
      </c>
      <c r="C53" t="s">
        <v>61</v>
      </c>
    </row>
    <row r="54" spans="1:5" x14ac:dyDescent="0.25">
      <c r="A54" t="s">
        <v>113</v>
      </c>
      <c r="B54" s="1">
        <f>(B46/100)*B52+(B48/100)*B53</f>
        <v>44.980072225949506</v>
      </c>
      <c r="C54" t="s">
        <v>61</v>
      </c>
    </row>
    <row r="56" spans="1:5" x14ac:dyDescent="0.25">
      <c r="A56" t="s">
        <v>106</v>
      </c>
      <c r="B56" s="1">
        <f>B40/B54</f>
        <v>0.13903934988330227</v>
      </c>
      <c r="C56" t="s">
        <v>60</v>
      </c>
    </row>
    <row r="57" spans="1:5" x14ac:dyDescent="0.25">
      <c r="A57" t="s">
        <v>62</v>
      </c>
      <c r="B57" s="1">
        <f>(B46/100)*B56</f>
        <v>0.12377526601010566</v>
      </c>
      <c r="C57" t="s">
        <v>60</v>
      </c>
    </row>
    <row r="58" spans="1:5" x14ac:dyDescent="0.25">
      <c r="B58" s="1"/>
    </row>
    <row r="59" spans="1:5" x14ac:dyDescent="0.25">
      <c r="A59" s="10" t="s">
        <v>124</v>
      </c>
      <c r="B59" s="1">
        <f>B30</f>
        <v>32.151577421623173</v>
      </c>
      <c r="C59" t="s">
        <v>30</v>
      </c>
    </row>
    <row r="60" spans="1:5" x14ac:dyDescent="0.25">
      <c r="A60" t="s">
        <v>121</v>
      </c>
      <c r="B60" s="1">
        <f>100*B57/B42</f>
        <v>20.463145853120718</v>
      </c>
      <c r="C60" t="s">
        <v>30</v>
      </c>
    </row>
    <row r="61" spans="1:5" x14ac:dyDescent="0.25">
      <c r="A61" t="s">
        <v>125</v>
      </c>
      <c r="B61" s="1">
        <f>100*B60/B59</f>
        <v>63.645853467078929</v>
      </c>
      <c r="C61" t="s">
        <v>126</v>
      </c>
    </row>
    <row r="63" spans="1:5" x14ac:dyDescent="0.25">
      <c r="A63" t="s">
        <v>107</v>
      </c>
    </row>
    <row r="64" spans="1:5" x14ac:dyDescent="0.25">
      <c r="A64" t="s">
        <v>108</v>
      </c>
      <c r="B64" s="29">
        <f>100*B57*B52/(B41*B37)</f>
        <v>61.763857739042713</v>
      </c>
      <c r="C64" s="29"/>
    </row>
    <row r="65" spans="1:3" x14ac:dyDescent="0.25">
      <c r="A65" t="s">
        <v>109</v>
      </c>
      <c r="B65" s="29">
        <f>100*B30*B52/(100*B36)</f>
        <v>97.043019104128021</v>
      </c>
      <c r="C65" s="29"/>
    </row>
    <row r="66" spans="1:3" x14ac:dyDescent="0.25">
      <c r="A66" t="s">
        <v>161</v>
      </c>
      <c r="B66" s="29">
        <f>100*B56*B54/(B41*B37)</f>
        <v>62.540000000000006</v>
      </c>
      <c r="C66" t="s">
        <v>164</v>
      </c>
    </row>
    <row r="69" spans="1:3" x14ac:dyDescent="0.25">
      <c r="A69" t="s">
        <v>148</v>
      </c>
      <c r="B69" s="12">
        <v>71.2</v>
      </c>
      <c r="C69" t="s">
        <v>163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9"/>
  <sheetViews>
    <sheetView topLeftCell="A24" workbookViewId="0">
      <selection activeCell="G51" sqref="G51"/>
    </sheetView>
  </sheetViews>
  <sheetFormatPr defaultRowHeight="15" x14ac:dyDescent="0.25"/>
  <cols>
    <col min="1" max="1" width="46.08984375" bestFit="1" customWidth="1"/>
    <col min="3" max="3" width="10.26953125" bestFit="1" customWidth="1"/>
  </cols>
  <sheetData>
    <row r="1" spans="1:11" x14ac:dyDescent="0.25">
      <c r="A1" t="s">
        <v>139</v>
      </c>
    </row>
    <row r="2" spans="1:11" x14ac:dyDescent="0.25">
      <c r="A2" t="s">
        <v>70</v>
      </c>
      <c r="B2" s="12"/>
    </row>
    <row r="5" spans="1:11" x14ac:dyDescent="0.25">
      <c r="A5" t="s">
        <v>54</v>
      </c>
      <c r="B5" t="s">
        <v>30</v>
      </c>
      <c r="C5" t="s">
        <v>50</v>
      </c>
    </row>
    <row r="6" spans="1:11" x14ac:dyDescent="0.25">
      <c r="A6" t="s">
        <v>24</v>
      </c>
      <c r="B6" s="12">
        <v>49.8</v>
      </c>
      <c r="C6" s="2">
        <f>B6/12.01</f>
        <v>4.1465445462114898</v>
      </c>
      <c r="D6" s="1"/>
    </row>
    <row r="7" spans="1:11" x14ac:dyDescent="0.25">
      <c r="A7" t="s">
        <v>25</v>
      </c>
      <c r="B7" s="12">
        <v>6.3</v>
      </c>
      <c r="C7" s="2">
        <f>B7/1.01</f>
        <v>6.2376237623762378</v>
      </c>
      <c r="D7" s="1"/>
      <c r="E7" s="1"/>
    </row>
    <row r="8" spans="1:11" x14ac:dyDescent="0.25">
      <c r="A8" t="s">
        <v>27</v>
      </c>
      <c r="B8" s="12">
        <v>43.2</v>
      </c>
      <c r="C8" s="2">
        <f>B8/16</f>
        <v>2.7</v>
      </c>
      <c r="D8" s="1"/>
      <c r="E8" s="1"/>
    </row>
    <row r="9" spans="1:11" x14ac:dyDescent="0.25">
      <c r="A9" t="s">
        <v>28</v>
      </c>
      <c r="B9" s="12">
        <v>0.13</v>
      </c>
      <c r="C9" s="2">
        <f>B9/14.01</f>
        <v>9.2790863668808007E-3</v>
      </c>
      <c r="D9" s="1"/>
    </row>
    <row r="10" spans="1:11" x14ac:dyDescent="0.25">
      <c r="A10" t="s">
        <v>26</v>
      </c>
      <c r="B10" s="16">
        <v>0</v>
      </c>
      <c r="C10" s="2">
        <f>B10/32.07</f>
        <v>0</v>
      </c>
      <c r="D10" s="1"/>
    </row>
    <row r="11" spans="1:11" x14ac:dyDescent="0.25">
      <c r="A11" t="s">
        <v>29</v>
      </c>
      <c r="B11" s="29">
        <f>SUM(B6:B10)</f>
        <v>99.429999999999993</v>
      </c>
      <c r="C11" s="2">
        <f>SUM(C6:C10)</f>
        <v>13.093447394954609</v>
      </c>
      <c r="D11" s="9"/>
    </row>
    <row r="13" spans="1:11" x14ac:dyDescent="0.25">
      <c r="A13" t="s">
        <v>98</v>
      </c>
      <c r="B13" s="30">
        <f>100-B11</f>
        <v>0.57000000000000739</v>
      </c>
    </row>
    <row r="14" spans="1:11" x14ac:dyDescent="0.25">
      <c r="B14" s="29"/>
    </row>
    <row r="15" spans="1:11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C6</f>
        <v>4.1465445462114898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 t="shared" ref="C18:C19" si="0">C7</f>
        <v>6.2376237623762378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 t="shared" si="0"/>
        <v>2.7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1.2371386056174303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1.9685693028087152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2.1779752434027744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1.2371386056174303</v>
      </c>
      <c r="E27" s="5" t="s">
        <v>35</v>
      </c>
      <c r="F27" s="5" t="s">
        <v>36</v>
      </c>
      <c r="G27" s="15">
        <f>C23</f>
        <v>1.9685693028087152</v>
      </c>
      <c r="H27" s="5" t="s">
        <v>38</v>
      </c>
      <c r="I27" s="5" t="s">
        <v>33</v>
      </c>
      <c r="J27" s="15">
        <f>C24</f>
        <v>2.1779752434027744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J27*16.05</f>
        <v>34.956502656614532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25</v>
      </c>
      <c r="C32" t="s">
        <v>30</v>
      </c>
    </row>
    <row r="33" spans="1:5" x14ac:dyDescent="0.25">
      <c r="A33" t="s">
        <v>53</v>
      </c>
      <c r="B33" s="1">
        <f>0.3491*B6+1.17838*B7+0.1005*B10-0.1034*B8-0.0151*B9-0.0211*B13</f>
        <v>20.328104</v>
      </c>
      <c r="C33" t="s">
        <v>61</v>
      </c>
    </row>
    <row r="34" spans="1:5" x14ac:dyDescent="0.25">
      <c r="A34" t="s">
        <v>55</v>
      </c>
      <c r="B34" s="1">
        <f>B33-2.44*(((B7/100)*0.018/0.002)+((B32/100)/(1-(B32/100))))</f>
        <v>18.131290666666665</v>
      </c>
      <c r="C34" t="s">
        <v>61</v>
      </c>
    </row>
    <row r="35" spans="1:5" x14ac:dyDescent="0.25">
      <c r="A35" t="s">
        <v>56</v>
      </c>
      <c r="B35" s="1">
        <f>B34*(1-(B32/100))</f>
        <v>13.598467999999999</v>
      </c>
      <c r="C35" t="s">
        <v>61</v>
      </c>
    </row>
    <row r="36" spans="1:5" x14ac:dyDescent="0.25">
      <c r="A36" t="s">
        <v>69</v>
      </c>
      <c r="B36" s="1">
        <f>B37/(1-(B32/100))</f>
        <v>19.400000000000002</v>
      </c>
      <c r="C36" t="s">
        <v>61</v>
      </c>
    </row>
    <row r="37" spans="1:5" x14ac:dyDescent="0.25">
      <c r="A37" t="s">
        <v>57</v>
      </c>
      <c r="B37" s="16">
        <v>14.55</v>
      </c>
      <c r="C37" t="s">
        <v>61</v>
      </c>
    </row>
    <row r="38" spans="1:5" x14ac:dyDescent="0.25">
      <c r="B38" s="29"/>
    </row>
    <row r="39" spans="1:5" x14ac:dyDescent="0.25">
      <c r="A39" t="s">
        <v>63</v>
      </c>
      <c r="B39" s="30">
        <v>0.5</v>
      </c>
      <c r="C39" t="s">
        <v>102</v>
      </c>
    </row>
    <row r="40" spans="1:5" x14ac:dyDescent="0.25">
      <c r="A40" t="s">
        <v>64</v>
      </c>
      <c r="B40" s="23">
        <v>0.36849999999999999</v>
      </c>
      <c r="C40" t="s">
        <v>102</v>
      </c>
    </row>
    <row r="41" spans="1:5" x14ac:dyDescent="0.25">
      <c r="A41" t="s">
        <v>115</v>
      </c>
      <c r="B41" s="2">
        <f>B39/B37</f>
        <v>3.4364261168384876E-2</v>
      </c>
      <c r="C41" t="s">
        <v>60</v>
      </c>
    </row>
    <row r="42" spans="1:5" x14ac:dyDescent="0.25">
      <c r="A42" t="s">
        <v>116</v>
      </c>
      <c r="B42" s="2">
        <f>(1-B32/100)*B41</f>
        <v>2.5773195876288658E-2</v>
      </c>
      <c r="C42" t="s">
        <v>60</v>
      </c>
    </row>
    <row r="45" spans="1:5" x14ac:dyDescent="0.25">
      <c r="A45" t="s">
        <v>114</v>
      </c>
      <c r="B45" t="s">
        <v>30</v>
      </c>
      <c r="C45" t="s">
        <v>73</v>
      </c>
      <c r="D45" t="s">
        <v>72</v>
      </c>
      <c r="E45" t="s">
        <v>51</v>
      </c>
    </row>
    <row r="46" spans="1:5" x14ac:dyDescent="0.25">
      <c r="A46" t="s">
        <v>40</v>
      </c>
      <c r="B46" s="17">
        <f>100*C46/$C$50</f>
        <v>85.341429259952875</v>
      </c>
      <c r="C46" s="1">
        <f>D46*16.05</f>
        <v>1423.6350000000002</v>
      </c>
      <c r="D46" s="1">
        <f>100*E46/$E$50</f>
        <v>88.7</v>
      </c>
      <c r="E46" s="16">
        <v>88.7</v>
      </c>
    </row>
    <row r="47" spans="1:5" x14ac:dyDescent="0.25">
      <c r="A47" t="s">
        <v>38</v>
      </c>
      <c r="B47" s="17">
        <f>100*C47/$C$50</f>
        <v>8.7061583873048445</v>
      </c>
      <c r="C47" s="1">
        <f>D47*44.01</f>
        <v>145.23299999999998</v>
      </c>
      <c r="D47" s="1">
        <f>100*E47/$E$50</f>
        <v>3.3</v>
      </c>
      <c r="E47" s="16">
        <v>3.3</v>
      </c>
    </row>
    <row r="48" spans="1:5" x14ac:dyDescent="0.25">
      <c r="A48" t="s">
        <v>103</v>
      </c>
      <c r="B48" s="17">
        <f>100*C48/$C$50</f>
        <v>0.58123781594615398</v>
      </c>
      <c r="C48" s="1">
        <f>D48*2.02</f>
        <v>9.6959999999999997</v>
      </c>
      <c r="D48" s="1">
        <f>100*E48/$E$50</f>
        <v>4.8</v>
      </c>
      <c r="E48" s="16">
        <v>4.8</v>
      </c>
    </row>
    <row r="49" spans="1:5" x14ac:dyDescent="0.25">
      <c r="A49" t="s">
        <v>104</v>
      </c>
      <c r="B49" s="17">
        <f>100*C49/$C$50</f>
        <v>5.3711745367961425</v>
      </c>
      <c r="C49" s="1">
        <f>D49*28</f>
        <v>89.600000000000009</v>
      </c>
      <c r="D49" s="1">
        <f>100*E49/$E$50</f>
        <v>3.2</v>
      </c>
      <c r="E49" s="16">
        <v>3.2</v>
      </c>
    </row>
    <row r="50" spans="1:5" x14ac:dyDescent="0.25">
      <c r="A50" t="s">
        <v>29</v>
      </c>
      <c r="B50" s="29">
        <f>SUM(B46:B49)</f>
        <v>100.00000000000001</v>
      </c>
      <c r="C50" s="1">
        <f>SUM(C46:C49)</f>
        <v>1668.164</v>
      </c>
      <c r="D50" s="9">
        <f>SUM(D46:D49)</f>
        <v>100</v>
      </c>
      <c r="E50" s="9">
        <f>SUM(E46:E49)</f>
        <v>100</v>
      </c>
    </row>
    <row r="52" spans="1:5" x14ac:dyDescent="0.25">
      <c r="A52" t="s">
        <v>52</v>
      </c>
      <c r="B52" s="12">
        <v>49.9</v>
      </c>
      <c r="C52" t="s">
        <v>61</v>
      </c>
    </row>
    <row r="53" spans="1:5" x14ac:dyDescent="0.25">
      <c r="A53" t="s">
        <v>105</v>
      </c>
      <c r="B53" s="12">
        <v>120.1</v>
      </c>
      <c r="C53" t="s">
        <v>61</v>
      </c>
    </row>
    <row r="54" spans="1:5" x14ac:dyDescent="0.25">
      <c r="A54" t="s">
        <v>113</v>
      </c>
      <c r="B54" s="1">
        <f>(B46/100)*B52+(B48/100)*B53</f>
        <v>43.283439817667812</v>
      </c>
      <c r="C54" t="s">
        <v>61</v>
      </c>
    </row>
    <row r="56" spans="1:5" x14ac:dyDescent="0.25">
      <c r="A56" t="s">
        <v>106</v>
      </c>
      <c r="B56" s="2">
        <f>B40/B54</f>
        <v>8.5136486737725139E-3</v>
      </c>
      <c r="C56" t="s">
        <v>60</v>
      </c>
    </row>
    <row r="57" spans="1:5" x14ac:dyDescent="0.25">
      <c r="A57" t="s">
        <v>62</v>
      </c>
      <c r="B57" s="2">
        <f>(B46/100)*B56</f>
        <v>7.2656694603684862E-3</v>
      </c>
      <c r="C57" t="s">
        <v>60</v>
      </c>
    </row>
    <row r="58" spans="1:5" x14ac:dyDescent="0.25">
      <c r="B58" s="2">
        <f>B47/100*B56</f>
        <v>7.4121173807731343E-4</v>
      </c>
    </row>
    <row r="59" spans="1:5" x14ac:dyDescent="0.25">
      <c r="A59" s="10" t="s">
        <v>124</v>
      </c>
      <c r="B59" s="1">
        <f>B30</f>
        <v>34.956502656614532</v>
      </c>
      <c r="C59" t="s">
        <v>30</v>
      </c>
    </row>
    <row r="60" spans="1:5" x14ac:dyDescent="0.25">
      <c r="A60" t="s">
        <v>121</v>
      </c>
      <c r="B60" s="1">
        <f>100*B57/B42</f>
        <v>28.190797506229725</v>
      </c>
      <c r="C60" t="s">
        <v>30</v>
      </c>
    </row>
    <row r="61" spans="1:5" x14ac:dyDescent="0.25">
      <c r="A61" t="s">
        <v>125</v>
      </c>
      <c r="B61" s="1">
        <f>100*B60/B59</f>
        <v>80.645360272891637</v>
      </c>
      <c r="C61" t="s">
        <v>126</v>
      </c>
    </row>
    <row r="63" spans="1:5" x14ac:dyDescent="0.25">
      <c r="A63" t="s">
        <v>107</v>
      </c>
    </row>
    <row r="64" spans="1:5" x14ac:dyDescent="0.25">
      <c r="A64" t="s">
        <v>108</v>
      </c>
      <c r="B64" s="29">
        <f>100*B57*B52/(B41*B37)</f>
        <v>72.511381214477495</v>
      </c>
      <c r="C64" s="29"/>
    </row>
    <row r="65" spans="1:3" x14ac:dyDescent="0.25">
      <c r="A65" t="s">
        <v>109</v>
      </c>
      <c r="B65" s="29">
        <f>100*B30*B52/(100*B36)</f>
        <v>89.913890853869319</v>
      </c>
      <c r="C65" s="29"/>
    </row>
    <row r="66" spans="1:3" x14ac:dyDescent="0.25">
      <c r="A66" t="s">
        <v>161</v>
      </c>
      <c r="B66">
        <f>100*B56*B54/(B41*B37)</f>
        <v>73.700000000000017</v>
      </c>
      <c r="C66" t="s">
        <v>164</v>
      </c>
    </row>
    <row r="69" spans="1:3" x14ac:dyDescent="0.25">
      <c r="A69" t="s">
        <v>148</v>
      </c>
      <c r="B69" s="12">
        <v>91</v>
      </c>
      <c r="C69" t="s">
        <v>163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topLeftCell="A20" workbookViewId="0">
      <selection activeCell="B38" sqref="B38"/>
    </sheetView>
  </sheetViews>
  <sheetFormatPr defaultRowHeight="15" x14ac:dyDescent="0.25"/>
  <cols>
    <col min="1" max="1" width="46.08984375" bestFit="1" customWidth="1"/>
    <col min="3" max="3" width="10.26953125" bestFit="1" customWidth="1"/>
  </cols>
  <sheetData>
    <row r="1" spans="1:11" x14ac:dyDescent="0.25">
      <c r="A1" t="s">
        <v>97</v>
      </c>
    </row>
    <row r="2" spans="1:11" x14ac:dyDescent="0.25">
      <c r="A2" t="s">
        <v>70</v>
      </c>
      <c r="B2" s="12"/>
    </row>
    <row r="5" spans="1:11" x14ac:dyDescent="0.25">
      <c r="A5" t="s">
        <v>54</v>
      </c>
      <c r="B5" t="s">
        <v>30</v>
      </c>
      <c r="C5" t="s">
        <v>50</v>
      </c>
      <c r="H5" s="34"/>
    </row>
    <row r="6" spans="1:11" x14ac:dyDescent="0.25">
      <c r="A6" t="s">
        <v>24</v>
      </c>
      <c r="B6" s="16">
        <v>50.187981201879822</v>
      </c>
      <c r="C6" s="2">
        <f>B6/12.01</f>
        <v>4.1788493923297105</v>
      </c>
      <c r="D6" s="1"/>
      <c r="F6" s="1"/>
      <c r="G6" s="9"/>
      <c r="H6" s="34"/>
    </row>
    <row r="7" spans="1:11" x14ac:dyDescent="0.25">
      <c r="A7" t="s">
        <v>25</v>
      </c>
      <c r="B7" s="16">
        <v>6.0383961603839627</v>
      </c>
      <c r="C7" s="2">
        <f>B7/1.01</f>
        <v>5.9786100597861012</v>
      </c>
      <c r="D7" s="1"/>
      <c r="F7" s="1"/>
      <c r="G7" s="1"/>
      <c r="H7" s="34"/>
    </row>
    <row r="8" spans="1:11" x14ac:dyDescent="0.25">
      <c r="A8" t="s">
        <v>27</v>
      </c>
      <c r="B8" s="16">
        <v>42.367763223677635</v>
      </c>
      <c r="C8" s="2">
        <f>B8/16</f>
        <v>2.6479852014798522</v>
      </c>
      <c r="D8" s="1"/>
      <c r="F8" s="1"/>
      <c r="G8" s="1"/>
      <c r="H8" s="34"/>
    </row>
    <row r="9" spans="1:11" x14ac:dyDescent="0.25">
      <c r="A9" t="s">
        <v>28</v>
      </c>
      <c r="B9" s="16">
        <v>0.29697030296970306</v>
      </c>
      <c r="C9" s="2">
        <f>B9/14.01</f>
        <v>2.1197023766574095E-2</v>
      </c>
      <c r="D9" s="1"/>
      <c r="F9" s="1"/>
      <c r="H9" s="34"/>
    </row>
    <row r="10" spans="1:11" x14ac:dyDescent="0.25">
      <c r="A10" t="s">
        <v>26</v>
      </c>
      <c r="B10" s="16">
        <v>5.9394060593940617E-2</v>
      </c>
      <c r="C10" s="2">
        <f>B10/32.07</f>
        <v>1.852013114871862E-3</v>
      </c>
      <c r="D10" s="1"/>
      <c r="F10" s="1"/>
      <c r="H10" s="34"/>
    </row>
    <row r="11" spans="1:11" x14ac:dyDescent="0.25">
      <c r="A11" t="s">
        <v>111</v>
      </c>
      <c r="B11" s="16">
        <v>4.949505049495051E-2</v>
      </c>
      <c r="C11" s="2">
        <f>B11/35.45</f>
        <v>1.3961932438632018E-3</v>
      </c>
      <c r="D11" s="1"/>
      <c r="F11" s="1"/>
    </row>
    <row r="12" spans="1:11" x14ac:dyDescent="0.25">
      <c r="A12" t="s">
        <v>29</v>
      </c>
      <c r="B12" s="1">
        <f>SUM(B6:B11)</f>
        <v>99.000000000000014</v>
      </c>
      <c r="C12" s="2">
        <f>SUM(C6:C11)</f>
        <v>12.829889883720973</v>
      </c>
      <c r="D12" s="1"/>
      <c r="F12" s="1"/>
    </row>
    <row r="14" spans="1:11" x14ac:dyDescent="0.25">
      <c r="A14" t="s">
        <v>98</v>
      </c>
      <c r="B14" s="30">
        <v>1</v>
      </c>
      <c r="C14" s="29"/>
    </row>
    <row r="15" spans="1:11" x14ac:dyDescent="0.25">
      <c r="B15" s="29"/>
    </row>
    <row r="16" spans="1:11" x14ac:dyDescent="0.25">
      <c r="A16" s="3" t="s">
        <v>48</v>
      </c>
      <c r="B16" s="5" t="s">
        <v>32</v>
      </c>
      <c r="C16" s="5" t="s">
        <v>33</v>
      </c>
      <c r="D16" s="14" t="s">
        <v>34</v>
      </c>
      <c r="E16" s="5" t="s">
        <v>35</v>
      </c>
      <c r="F16" s="5" t="s">
        <v>36</v>
      </c>
      <c r="G16" s="14" t="s">
        <v>37</v>
      </c>
      <c r="H16" s="5" t="s">
        <v>38</v>
      </c>
      <c r="I16" s="5" t="s">
        <v>33</v>
      </c>
      <c r="J16" s="14" t="s">
        <v>39</v>
      </c>
      <c r="K16" s="5" t="s">
        <v>40</v>
      </c>
    </row>
    <row r="17" spans="1:1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 t="s">
        <v>41</v>
      </c>
      <c r="B18" s="3" t="s">
        <v>42</v>
      </c>
      <c r="C18" s="19">
        <f>C6</f>
        <v>4.1788493923297105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43</v>
      </c>
      <c r="C19" s="19">
        <f>C7</f>
        <v>5.9786100597861012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 t="s">
        <v>44</v>
      </c>
      <c r="C20" s="19">
        <f>C8</f>
        <v>2.6479852014798522</v>
      </c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45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 t="s">
        <v>49</v>
      </c>
      <c r="B23" s="3" t="s">
        <v>34</v>
      </c>
      <c r="C23" s="13">
        <f>C18-(0.25*C19)-0.5*C20</f>
        <v>1.3602042766432592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37</v>
      </c>
      <c r="C24" s="13">
        <f>(0.5*C18)-(0.125*C19)+(0.25*C20)</f>
        <v>2.0040947390615558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 t="s">
        <v>39</v>
      </c>
      <c r="C25" s="13">
        <f>(0.5*C18)+(0.125*C19)-(0.25*C20)</f>
        <v>2.1747546532681552</v>
      </c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46</v>
      </c>
      <c r="B27" s="3"/>
      <c r="C27" s="3"/>
      <c r="D27" s="3"/>
      <c r="E27" s="3"/>
      <c r="F27" s="3"/>
      <c r="G27" s="3"/>
      <c r="H27" s="3"/>
      <c r="I27" s="3"/>
      <c r="J27" s="3"/>
      <c r="K27" s="3"/>
    </row>
    <row r="28" spans="1:11" x14ac:dyDescent="0.25">
      <c r="A28" s="3" t="s">
        <v>48</v>
      </c>
      <c r="B28" s="5" t="s">
        <v>32</v>
      </c>
      <c r="C28" s="5" t="s">
        <v>33</v>
      </c>
      <c r="D28" s="15">
        <f>C23</f>
        <v>1.3602042766432592</v>
      </c>
      <c r="E28" s="5" t="s">
        <v>35</v>
      </c>
      <c r="F28" s="5" t="s">
        <v>36</v>
      </c>
      <c r="G28" s="15">
        <f>C24</f>
        <v>2.0040947390615558</v>
      </c>
      <c r="H28" s="5" t="s">
        <v>38</v>
      </c>
      <c r="I28" s="5" t="s">
        <v>33</v>
      </c>
      <c r="J28" s="15">
        <f>C25</f>
        <v>2.1747546532681552</v>
      </c>
      <c r="K28" s="5" t="s">
        <v>40</v>
      </c>
    </row>
    <row r="29" spans="1:1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t="s">
        <v>59</v>
      </c>
      <c r="B30" s="3"/>
      <c r="C30" s="3"/>
      <c r="D30" s="3"/>
      <c r="E30" s="3"/>
      <c r="F30" s="3"/>
      <c r="G30" s="3"/>
      <c r="H30" s="3"/>
      <c r="I30" s="3"/>
      <c r="J30" s="3"/>
      <c r="K30" s="3"/>
    </row>
    <row r="31" spans="1:11" x14ac:dyDescent="0.25">
      <c r="A31" s="10" t="s">
        <v>58</v>
      </c>
      <c r="B31" s="18">
        <f>J28*16.05</f>
        <v>34.90481218495389</v>
      </c>
      <c r="C31" s="10" t="s">
        <v>30</v>
      </c>
      <c r="D31" s="3"/>
      <c r="E31" s="3"/>
      <c r="F31" s="3"/>
      <c r="G31" s="3"/>
      <c r="H31" s="3"/>
      <c r="I31" s="3"/>
      <c r="J31" s="3"/>
      <c r="K31" s="3"/>
    </row>
    <row r="32" spans="1:11" x14ac:dyDescent="0.25">
      <c r="B32" s="29"/>
    </row>
    <row r="33" spans="1:5" x14ac:dyDescent="0.25">
      <c r="A33" t="s">
        <v>99</v>
      </c>
      <c r="B33" s="12">
        <v>15</v>
      </c>
      <c r="C33" t="s">
        <v>30</v>
      </c>
    </row>
    <row r="34" spans="1:5" x14ac:dyDescent="0.25">
      <c r="A34" t="s">
        <v>53</v>
      </c>
      <c r="B34" s="1">
        <f>0.3491*B6+1.17838*B7+0.1005*B10-0.1034*B8-0.0151*B9-0.0211*B14</f>
        <v>20.235707639236079</v>
      </c>
      <c r="C34" t="s">
        <v>61</v>
      </c>
    </row>
    <row r="35" spans="1:5" x14ac:dyDescent="0.25">
      <c r="A35" t="s">
        <v>55</v>
      </c>
      <c r="B35" s="1">
        <f>B34-2.44*(((B7/100)*0.018/0.002)+((B33/100)/(1-(B33/100))))</f>
        <v>18.479087607121642</v>
      </c>
      <c r="C35" t="s">
        <v>61</v>
      </c>
    </row>
    <row r="36" spans="1:5" x14ac:dyDescent="0.25">
      <c r="A36" t="s">
        <v>56</v>
      </c>
      <c r="B36" s="1">
        <f>B35*(1-(B33/100))</f>
        <v>15.707224466053395</v>
      </c>
      <c r="C36" t="s">
        <v>61</v>
      </c>
    </row>
    <row r="37" spans="1:5" x14ac:dyDescent="0.25">
      <c r="A37" t="s">
        <v>66</v>
      </c>
      <c r="B37" s="16">
        <v>18.8</v>
      </c>
      <c r="C37" t="s">
        <v>61</v>
      </c>
    </row>
    <row r="38" spans="1:5" x14ac:dyDescent="0.25">
      <c r="A38" t="s">
        <v>68</v>
      </c>
      <c r="B38" s="17">
        <f>B37*(1-(B33/100))</f>
        <v>15.98</v>
      </c>
      <c r="C38" t="s">
        <v>61</v>
      </c>
    </row>
    <row r="39" spans="1:5" x14ac:dyDescent="0.25">
      <c r="B39" s="29"/>
    </row>
    <row r="40" spans="1:5" x14ac:dyDescent="0.25">
      <c r="A40" t="s">
        <v>63</v>
      </c>
      <c r="B40" s="31">
        <v>0.5</v>
      </c>
      <c r="C40" t="s">
        <v>102</v>
      </c>
      <c r="D40" s="20" t="s">
        <v>117</v>
      </c>
    </row>
    <row r="41" spans="1:5" x14ac:dyDescent="0.25">
      <c r="A41" t="s">
        <v>64</v>
      </c>
      <c r="B41" s="32">
        <v>0.36849999999999999</v>
      </c>
      <c r="C41" t="s">
        <v>102</v>
      </c>
      <c r="D41" s="20" t="s">
        <v>117</v>
      </c>
    </row>
    <row r="42" spans="1:5" x14ac:dyDescent="0.25">
      <c r="A42" t="s">
        <v>115</v>
      </c>
      <c r="B42" s="21">
        <f>B40/B38</f>
        <v>3.1289111389236547E-2</v>
      </c>
      <c r="C42" t="s">
        <v>60</v>
      </c>
    </row>
    <row r="43" spans="1:5" x14ac:dyDescent="0.25">
      <c r="A43" t="s">
        <v>116</v>
      </c>
      <c r="B43" s="21">
        <f>(1-B33/100)*B42</f>
        <v>2.6595744680851064E-2</v>
      </c>
      <c r="C43" t="s">
        <v>60</v>
      </c>
    </row>
    <row r="46" spans="1:5" x14ac:dyDescent="0.25">
      <c r="A46" t="s">
        <v>114</v>
      </c>
      <c r="B46" t="s">
        <v>30</v>
      </c>
      <c r="C46" t="s">
        <v>73</v>
      </c>
      <c r="D46" t="s">
        <v>72</v>
      </c>
      <c r="E46" t="s">
        <v>51</v>
      </c>
    </row>
    <row r="47" spans="1:5" x14ac:dyDescent="0.25">
      <c r="A47" t="s">
        <v>40</v>
      </c>
      <c r="B47" s="17">
        <f>100*C47/$C$51</f>
        <v>89.460649506678507</v>
      </c>
      <c r="C47" s="1">
        <f>D47*16.05</f>
        <v>1461.581325301205</v>
      </c>
      <c r="D47" s="1">
        <f>100*E47/$E$51</f>
        <v>91.064257028112451</v>
      </c>
      <c r="E47" s="16">
        <v>90.7</v>
      </c>
    </row>
    <row r="48" spans="1:5" x14ac:dyDescent="0.25">
      <c r="A48" t="s">
        <v>38</v>
      </c>
      <c r="B48" s="17">
        <f t="shared" ref="B48:B50" si="0">100*C48/$C$51</f>
        <v>4.8682581188334808</v>
      </c>
      <c r="C48" s="1">
        <f>D48*44.01</f>
        <v>79.536144578313255</v>
      </c>
      <c r="D48" s="1">
        <f t="shared" ref="D48:D50" si="1">100*E48/$E$51</f>
        <v>1.8072289156626506</v>
      </c>
      <c r="E48" s="16">
        <v>1.8</v>
      </c>
    </row>
    <row r="49" spans="1:5" x14ac:dyDescent="0.25">
      <c r="A49" t="s">
        <v>103</v>
      </c>
      <c r="B49" s="17">
        <f t="shared" si="0"/>
        <v>0.50896152061625999</v>
      </c>
      <c r="C49" s="1">
        <f>D49*2.02</f>
        <v>8.3152610441767063</v>
      </c>
      <c r="D49" s="1">
        <f t="shared" si="1"/>
        <v>4.1164658634538149</v>
      </c>
      <c r="E49" s="16">
        <v>4.0999999999999996</v>
      </c>
    </row>
    <row r="50" spans="1:5" x14ac:dyDescent="0.25">
      <c r="A50" t="s">
        <v>166</v>
      </c>
      <c r="B50" s="17">
        <f t="shared" si="0"/>
        <v>5.1621308538717523</v>
      </c>
      <c r="C50" s="1">
        <f>D50*28</f>
        <v>84.337349397590373</v>
      </c>
      <c r="D50" s="1">
        <f t="shared" si="1"/>
        <v>3.0120481927710845</v>
      </c>
      <c r="E50" s="16">
        <v>3</v>
      </c>
    </row>
    <row r="51" spans="1:5" x14ac:dyDescent="0.25">
      <c r="A51" t="s">
        <v>29</v>
      </c>
      <c r="B51" s="29">
        <f>SUM(B47:B50)</f>
        <v>100</v>
      </c>
      <c r="C51" s="1">
        <f>SUM(C47:C50)</f>
        <v>1633.7700803212851</v>
      </c>
      <c r="D51" s="9">
        <f>SUM(D47:D50)</f>
        <v>100</v>
      </c>
      <c r="E51" s="9">
        <f>SUM(E47:E50)</f>
        <v>99.6</v>
      </c>
    </row>
    <row r="53" spans="1:5" x14ac:dyDescent="0.25">
      <c r="A53" t="s">
        <v>52</v>
      </c>
      <c r="B53" s="12">
        <v>49.9</v>
      </c>
      <c r="C53" t="s">
        <v>61</v>
      </c>
    </row>
    <row r="54" spans="1:5" x14ac:dyDescent="0.25">
      <c r="A54" t="s">
        <v>105</v>
      </c>
      <c r="B54" s="12">
        <v>120.1</v>
      </c>
      <c r="C54" t="s">
        <v>61</v>
      </c>
    </row>
    <row r="55" spans="1:5" x14ac:dyDescent="0.25">
      <c r="A55" t="s">
        <v>113</v>
      </c>
      <c r="B55" s="1">
        <f>(B47/100)*B53+(B49/100)*B54</f>
        <v>45.252126890092697</v>
      </c>
      <c r="C55" t="s">
        <v>61</v>
      </c>
    </row>
    <row r="57" spans="1:5" x14ac:dyDescent="0.25">
      <c r="A57" t="s">
        <v>106</v>
      </c>
      <c r="B57" s="21">
        <f>B41/B55</f>
        <v>8.1432636502369073E-3</v>
      </c>
      <c r="C57" t="s">
        <v>60</v>
      </c>
    </row>
    <row r="58" spans="1:5" x14ac:dyDescent="0.25">
      <c r="A58" t="s">
        <v>62</v>
      </c>
      <c r="B58" s="21">
        <f>(B47/100)*B57</f>
        <v>7.2850165525431936E-3</v>
      </c>
      <c r="C58" t="s">
        <v>60</v>
      </c>
    </row>
    <row r="59" spans="1:5" x14ac:dyDescent="0.25">
      <c r="B59" s="21"/>
    </row>
    <row r="60" spans="1:5" x14ac:dyDescent="0.25">
      <c r="A60" s="10" t="s">
        <v>124</v>
      </c>
      <c r="B60" s="22">
        <f>B31</f>
        <v>34.90481218495389</v>
      </c>
      <c r="C60" t="s">
        <v>30</v>
      </c>
    </row>
    <row r="61" spans="1:5" x14ac:dyDescent="0.25">
      <c r="A61" t="s">
        <v>121</v>
      </c>
      <c r="B61" s="22">
        <f>100*B58/B43</f>
        <v>27.391662237562407</v>
      </c>
      <c r="C61" t="s">
        <v>30</v>
      </c>
    </row>
    <row r="62" spans="1:5" x14ac:dyDescent="0.25">
      <c r="A62" t="s">
        <v>125</v>
      </c>
      <c r="B62" s="22">
        <f>100*B61/B60</f>
        <v>78.475317650813466</v>
      </c>
      <c r="C62" t="s">
        <v>126</v>
      </c>
    </row>
    <row r="64" spans="1:5" x14ac:dyDescent="0.25">
      <c r="A64" t="s">
        <v>107</v>
      </c>
    </row>
    <row r="65" spans="1:3" x14ac:dyDescent="0.25">
      <c r="A65" t="s">
        <v>108</v>
      </c>
      <c r="B65" s="33">
        <f>100*B58*B53/(B42*B38)</f>
        <v>72.704465194381072</v>
      </c>
      <c r="C65" s="33"/>
    </row>
    <row r="66" spans="1:3" x14ac:dyDescent="0.25">
      <c r="A66" t="s">
        <v>109</v>
      </c>
      <c r="B66" s="33">
        <f>100*B31*B53/(100*B37)</f>
        <v>92.646283405808461</v>
      </c>
      <c r="C66" s="33"/>
    </row>
    <row r="68" spans="1:3" x14ac:dyDescent="0.25">
      <c r="A68" t="s">
        <v>148</v>
      </c>
      <c r="B68" s="38">
        <v>91</v>
      </c>
      <c r="C68" s="20" t="s">
        <v>117</v>
      </c>
    </row>
  </sheetData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0"/>
  <sheetViews>
    <sheetView topLeftCell="A32" workbookViewId="0">
      <selection activeCell="B37" sqref="B37"/>
    </sheetView>
  </sheetViews>
  <sheetFormatPr defaultRowHeight="15" x14ac:dyDescent="0.25"/>
  <cols>
    <col min="1" max="1" width="46.08984375" bestFit="1" customWidth="1"/>
    <col min="3" max="3" width="10.26953125" bestFit="1" customWidth="1"/>
  </cols>
  <sheetData>
    <row r="1" spans="1:11" x14ac:dyDescent="0.25">
      <c r="A1" t="s">
        <v>67</v>
      </c>
    </row>
    <row r="2" spans="1:11" x14ac:dyDescent="0.25">
      <c r="A2" t="s">
        <v>70</v>
      </c>
      <c r="B2" s="12"/>
    </row>
    <row r="5" spans="1:11" x14ac:dyDescent="0.25">
      <c r="A5" t="s">
        <v>54</v>
      </c>
      <c r="B5" t="s">
        <v>30</v>
      </c>
      <c r="C5" t="s">
        <v>50</v>
      </c>
    </row>
    <row r="6" spans="1:11" x14ac:dyDescent="0.25">
      <c r="A6" t="s">
        <v>24</v>
      </c>
      <c r="B6" s="16">
        <v>50.6</v>
      </c>
      <c r="C6" s="2">
        <f>B6/12.01</f>
        <v>4.21315570358035</v>
      </c>
      <c r="D6" s="1"/>
    </row>
    <row r="7" spans="1:11" x14ac:dyDescent="0.25">
      <c r="A7" t="s">
        <v>25</v>
      </c>
      <c r="B7" s="16">
        <v>5.7</v>
      </c>
      <c r="C7" s="2">
        <f>B7/1.01</f>
        <v>5.6435643564356432</v>
      </c>
      <c r="D7" s="1"/>
      <c r="E7" s="1"/>
    </row>
    <row r="8" spans="1:11" x14ac:dyDescent="0.25">
      <c r="A8" t="s">
        <v>27</v>
      </c>
      <c r="B8" s="16">
        <v>42.5</v>
      </c>
      <c r="C8" s="2">
        <f>B8/16</f>
        <v>2.65625</v>
      </c>
      <c r="D8" s="1"/>
      <c r="E8" s="1"/>
    </row>
    <row r="9" spans="1:11" x14ac:dyDescent="0.25">
      <c r="A9" t="s">
        <v>28</v>
      </c>
      <c r="B9" s="16">
        <v>0.2</v>
      </c>
      <c r="C9" s="2">
        <f>B9/14.01</f>
        <v>1.4275517487508924E-2</v>
      </c>
      <c r="D9" s="1"/>
    </row>
    <row r="10" spans="1:11" x14ac:dyDescent="0.25">
      <c r="A10" t="s">
        <v>26</v>
      </c>
      <c r="B10" s="16">
        <v>0</v>
      </c>
      <c r="C10" s="2">
        <f>B10/32.07</f>
        <v>0</v>
      </c>
      <c r="D10" s="1"/>
    </row>
    <row r="11" spans="1:11" x14ac:dyDescent="0.25">
      <c r="A11" t="s">
        <v>29</v>
      </c>
      <c r="B11" s="1">
        <f>SUM(B6:B10)</f>
        <v>99.000000000000014</v>
      </c>
      <c r="C11" s="2">
        <f>SUM(C6:C10)</f>
        <v>12.527245577503502</v>
      </c>
      <c r="D11" s="9"/>
    </row>
    <row r="13" spans="1:11" x14ac:dyDescent="0.25">
      <c r="A13" t="s">
        <v>98</v>
      </c>
      <c r="B13" s="16">
        <f>100-B11</f>
        <v>0.99999999999998579</v>
      </c>
      <c r="C13" s="29"/>
    </row>
    <row r="14" spans="1:11" x14ac:dyDescent="0.25">
      <c r="B14" s="29"/>
    </row>
    <row r="15" spans="1:11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C6</f>
        <v>4.21315570358035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 t="shared" ref="C18:C19" si="0">C7</f>
        <v>5.6435643564356432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 t="shared" si="0"/>
        <v>2.65625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1.4741396144714392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2.0651948072357196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2.1479608963446304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1.4741396144714392</v>
      </c>
      <c r="E27" s="5" t="s">
        <v>35</v>
      </c>
      <c r="F27" s="5" t="s">
        <v>36</v>
      </c>
      <c r="G27" s="15">
        <f>C23</f>
        <v>2.0651948072357196</v>
      </c>
      <c r="H27" s="5" t="s">
        <v>38</v>
      </c>
      <c r="I27" s="5" t="s">
        <v>33</v>
      </c>
      <c r="J27" s="15">
        <f>C24</f>
        <v>2.1479608963446304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J27*16.05</f>
        <v>34.474772386331317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50</v>
      </c>
      <c r="C32" t="s">
        <v>30</v>
      </c>
    </row>
    <row r="33" spans="1:5" x14ac:dyDescent="0.25">
      <c r="A33" t="s">
        <v>53</v>
      </c>
      <c r="B33" s="1">
        <f>0.3491*B6+1.17838*B7+0.1005*B10-0.1034*B8-0.0151*B9-0.0211*B13</f>
        <v>19.962606000000001</v>
      </c>
      <c r="C33" t="s">
        <v>61</v>
      </c>
    </row>
    <row r="34" spans="1:5" x14ac:dyDescent="0.25">
      <c r="A34" t="s">
        <v>55</v>
      </c>
      <c r="B34" s="1">
        <f>B33-2.44*(((B7/100)*0.018/0.002)+((B32/100)/(1-(B32/100))))</f>
        <v>16.270886000000001</v>
      </c>
      <c r="C34" t="s">
        <v>61</v>
      </c>
    </row>
    <row r="35" spans="1:5" x14ac:dyDescent="0.25">
      <c r="A35" t="s">
        <v>56</v>
      </c>
      <c r="B35" s="1">
        <f>B34*(1-(B32/100))</f>
        <v>8.1354430000000004</v>
      </c>
      <c r="C35" t="s">
        <v>61</v>
      </c>
    </row>
    <row r="36" spans="1:5" x14ac:dyDescent="0.25">
      <c r="A36" t="s">
        <v>119</v>
      </c>
      <c r="B36" s="16">
        <v>18.600000000000001</v>
      </c>
      <c r="C36" t="s">
        <v>61</v>
      </c>
    </row>
    <row r="37" spans="1:5" x14ac:dyDescent="0.25">
      <c r="A37" t="s">
        <v>120</v>
      </c>
      <c r="B37" s="17">
        <f>B36*(1-(B32/100))</f>
        <v>9.3000000000000007</v>
      </c>
      <c r="C37" t="s">
        <v>61</v>
      </c>
    </row>
    <row r="38" spans="1:5" x14ac:dyDescent="0.25">
      <c r="B38" s="29"/>
    </row>
    <row r="39" spans="1:5" x14ac:dyDescent="0.25">
      <c r="A39" t="s">
        <v>63</v>
      </c>
      <c r="B39" s="30">
        <v>20</v>
      </c>
      <c r="C39" t="s">
        <v>102</v>
      </c>
    </row>
    <row r="40" spans="1:5" x14ac:dyDescent="0.25">
      <c r="A40" t="s">
        <v>64</v>
      </c>
      <c r="B40" s="23">
        <v>14.765000000000001</v>
      </c>
      <c r="C40" t="s">
        <v>102</v>
      </c>
    </row>
    <row r="41" spans="1:5" x14ac:dyDescent="0.25">
      <c r="A41" t="s">
        <v>115</v>
      </c>
      <c r="B41" s="2">
        <f>B39/B37</f>
        <v>2.150537634408602</v>
      </c>
      <c r="C41" t="s">
        <v>60</v>
      </c>
    </row>
    <row r="42" spans="1:5" x14ac:dyDescent="0.25">
      <c r="A42" t="s">
        <v>116</v>
      </c>
      <c r="B42" s="2">
        <f>(1-B32/100)*B41</f>
        <v>1.075268817204301</v>
      </c>
      <c r="C42" t="s">
        <v>60</v>
      </c>
    </row>
    <row r="45" spans="1:5" x14ac:dyDescent="0.25">
      <c r="A45" t="s">
        <v>114</v>
      </c>
      <c r="B45" t="s">
        <v>30</v>
      </c>
      <c r="C45" t="s">
        <v>73</v>
      </c>
      <c r="D45" t="s">
        <v>72</v>
      </c>
      <c r="E45" t="s">
        <v>51</v>
      </c>
    </row>
    <row r="46" spans="1:5" x14ac:dyDescent="0.25">
      <c r="A46" t="s">
        <v>40</v>
      </c>
      <c r="B46" s="17">
        <f>100*C46/$C$51</f>
        <v>93.141963513352593</v>
      </c>
      <c r="C46" s="1">
        <f>D46*16.05</f>
        <v>1540.8000000000002</v>
      </c>
      <c r="D46" s="1">
        <f>100*E46/$E$51</f>
        <v>96</v>
      </c>
      <c r="E46" s="16">
        <v>96</v>
      </c>
    </row>
    <row r="47" spans="1:5" x14ac:dyDescent="0.25">
      <c r="A47" t="s">
        <v>38</v>
      </c>
      <c r="B47" s="17">
        <f>100*C47/$C$51</f>
        <v>5.8529278240458353</v>
      </c>
      <c r="C47" s="1">
        <f>D47*44.01</f>
        <v>96.822000000000003</v>
      </c>
      <c r="D47" s="1">
        <f>100*E47/$E$51</f>
        <v>2.2000000000000002</v>
      </c>
      <c r="E47" s="16">
        <v>2.2000000000000002</v>
      </c>
    </row>
    <row r="48" spans="1:5" x14ac:dyDescent="0.25">
      <c r="A48" t="s">
        <v>103</v>
      </c>
      <c r="B48" s="17">
        <f>100*C48/$C$51</f>
        <v>0.15874272857350979</v>
      </c>
      <c r="C48" s="1">
        <f>D48*2.02</f>
        <v>2.6260000000000003</v>
      </c>
      <c r="D48" s="1">
        <f>100*E48/$E$51</f>
        <v>1.3</v>
      </c>
      <c r="E48" s="16">
        <v>1.3</v>
      </c>
    </row>
    <row r="49" spans="1:5" x14ac:dyDescent="0.25">
      <c r="A49" t="s">
        <v>104</v>
      </c>
      <c r="B49" s="17">
        <f>100*C49/$C$51</f>
        <v>0.67704438690910484</v>
      </c>
      <c r="C49" s="1">
        <f>D49*28</f>
        <v>11.200000000000001</v>
      </c>
      <c r="D49" s="1">
        <f>100*E49/$E$51</f>
        <v>0.4</v>
      </c>
      <c r="E49" s="16">
        <v>0.4</v>
      </c>
    </row>
    <row r="50" spans="1:5" x14ac:dyDescent="0.25">
      <c r="A50" t="s">
        <v>112</v>
      </c>
      <c r="B50" s="17">
        <f>100*C50/$C$51</f>
        <v>0.16932154711896455</v>
      </c>
      <c r="C50" s="1">
        <f>D50*28.01</f>
        <v>2.8010000000000002</v>
      </c>
      <c r="D50" s="1">
        <f>100*E50/$E$51</f>
        <v>0.1</v>
      </c>
      <c r="E50" s="16">
        <v>0.1</v>
      </c>
    </row>
    <row r="51" spans="1:5" x14ac:dyDescent="0.25">
      <c r="A51" t="s">
        <v>29</v>
      </c>
      <c r="B51" s="29">
        <f>SUM(B46:B50)</f>
        <v>100.00000000000001</v>
      </c>
      <c r="C51" s="1">
        <f>SUM(C46:C50)</f>
        <v>1654.2490000000003</v>
      </c>
      <c r="D51" s="9">
        <f>SUM(D46:D50)</f>
        <v>100</v>
      </c>
      <c r="E51" s="9">
        <f>SUM(E46:E50)</f>
        <v>100</v>
      </c>
    </row>
    <row r="53" spans="1:5" x14ac:dyDescent="0.25">
      <c r="A53" t="s">
        <v>52</v>
      </c>
      <c r="B53" s="12">
        <v>49.9</v>
      </c>
      <c r="C53" t="s">
        <v>61</v>
      </c>
    </row>
    <row r="54" spans="1:5" x14ac:dyDescent="0.25">
      <c r="A54" t="s">
        <v>105</v>
      </c>
      <c r="B54" s="12">
        <v>120.1</v>
      </c>
      <c r="C54" t="s">
        <v>61</v>
      </c>
    </row>
    <row r="55" spans="1:5" x14ac:dyDescent="0.25">
      <c r="A55" t="s">
        <v>118</v>
      </c>
      <c r="B55" s="12">
        <v>10.199999999999999</v>
      </c>
      <c r="C55" t="s">
        <v>61</v>
      </c>
    </row>
    <row r="56" spans="1:5" x14ac:dyDescent="0.25">
      <c r="A56" t="s">
        <v>113</v>
      </c>
      <c r="B56" s="1">
        <f>(B46/100)*B53+(B48/100)*B54+(B50/100)*B55</f>
        <v>46.685760607985863</v>
      </c>
      <c r="C56" t="s">
        <v>61</v>
      </c>
    </row>
    <row r="58" spans="1:5" x14ac:dyDescent="0.25">
      <c r="A58" t="s">
        <v>106</v>
      </c>
      <c r="B58" s="2">
        <f>B40/B56</f>
        <v>0.31626345608845802</v>
      </c>
      <c r="C58" t="s">
        <v>60</v>
      </c>
    </row>
    <row r="59" spans="1:5" x14ac:dyDescent="0.25">
      <c r="A59" t="s">
        <v>62</v>
      </c>
      <c r="B59" s="2">
        <f>(B46/100)*B58</f>
        <v>0.29457399287597946</v>
      </c>
      <c r="C59" t="s">
        <v>60</v>
      </c>
    </row>
    <row r="60" spans="1:5" x14ac:dyDescent="0.25">
      <c r="B60" s="2"/>
    </row>
    <row r="61" spans="1:5" x14ac:dyDescent="0.25">
      <c r="A61" s="10" t="s">
        <v>124</v>
      </c>
      <c r="B61" s="1">
        <f>B30</f>
        <v>34.474772386331317</v>
      </c>
      <c r="C61" t="s">
        <v>30</v>
      </c>
    </row>
    <row r="62" spans="1:5" x14ac:dyDescent="0.25">
      <c r="A62" t="s">
        <v>121</v>
      </c>
      <c r="B62" s="1">
        <f>100*B59/B42</f>
        <v>27.395381337466095</v>
      </c>
      <c r="C62" t="s">
        <v>30</v>
      </c>
    </row>
    <row r="63" spans="1:5" x14ac:dyDescent="0.25">
      <c r="A63" t="s">
        <v>125</v>
      </c>
      <c r="B63" s="1">
        <f>100*B62/B61</f>
        <v>79.465010038261823</v>
      </c>
      <c r="C63" t="s">
        <v>126</v>
      </c>
    </row>
    <row r="65" spans="1:3" x14ac:dyDescent="0.25">
      <c r="A65" t="s">
        <v>107</v>
      </c>
    </row>
    <row r="66" spans="1:3" x14ac:dyDescent="0.25">
      <c r="A66" t="s">
        <v>108</v>
      </c>
      <c r="B66" s="29">
        <f>100*B59*B53/(B41*B37)</f>
        <v>73.49621122255688</v>
      </c>
      <c r="C66" s="29"/>
    </row>
    <row r="67" spans="1:3" x14ac:dyDescent="0.25">
      <c r="A67" t="s">
        <v>109</v>
      </c>
      <c r="B67" s="29">
        <f>100*B30*B53/(100*B36)</f>
        <v>92.488771079458729</v>
      </c>
      <c r="C67" s="29"/>
    </row>
    <row r="68" spans="1:3" x14ac:dyDescent="0.25">
      <c r="A68" t="s">
        <v>161</v>
      </c>
      <c r="B68" s="29">
        <f>100*B58*B56/(B41*B37)</f>
        <v>73.825000000000003</v>
      </c>
      <c r="C68" t="s">
        <v>164</v>
      </c>
    </row>
    <row r="70" spans="1:3" x14ac:dyDescent="0.25">
      <c r="A70" t="s">
        <v>148</v>
      </c>
      <c r="B70" s="38">
        <v>91</v>
      </c>
      <c r="C70" s="20" t="s">
        <v>117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7"/>
  <sheetViews>
    <sheetView topLeftCell="A34" workbookViewId="0"/>
  </sheetViews>
  <sheetFormatPr defaultRowHeight="15" x14ac:dyDescent="0.25"/>
  <cols>
    <col min="1" max="1" width="46.08984375" bestFit="1" customWidth="1"/>
    <col min="2" max="2" width="12.1796875" bestFit="1" customWidth="1"/>
    <col min="3" max="3" width="10.26953125" bestFit="1" customWidth="1"/>
    <col min="4" max="4" width="11.81640625" bestFit="1" customWidth="1"/>
  </cols>
  <sheetData>
    <row r="1" spans="1:11" x14ac:dyDescent="0.25">
      <c r="A1" t="s">
        <v>71</v>
      </c>
    </row>
    <row r="2" spans="1:11" x14ac:dyDescent="0.25">
      <c r="A2" t="s">
        <v>70</v>
      </c>
      <c r="B2" s="12"/>
    </row>
    <row r="5" spans="1:11" x14ac:dyDescent="0.25">
      <c r="A5" t="s">
        <v>54</v>
      </c>
      <c r="B5" t="s">
        <v>30</v>
      </c>
      <c r="C5" t="s">
        <v>73</v>
      </c>
      <c r="D5" t="s">
        <v>72</v>
      </c>
      <c r="E5" t="s">
        <v>51</v>
      </c>
    </row>
    <row r="6" spans="1:11" x14ac:dyDescent="0.25">
      <c r="A6" t="s">
        <v>24</v>
      </c>
      <c r="B6" s="17">
        <f>100*C6/$C$11</f>
        <v>47.422150084747841</v>
      </c>
      <c r="C6" s="1">
        <f>D6*12.01</f>
        <v>363.93898956273881</v>
      </c>
      <c r="D6" s="1">
        <f>100*E6/$E$11</f>
        <v>30.302996633034041</v>
      </c>
      <c r="E6" s="16">
        <v>30</v>
      </c>
    </row>
    <row r="7" spans="1:11" x14ac:dyDescent="0.25">
      <c r="A7" t="s">
        <v>25</v>
      </c>
      <c r="B7" s="17">
        <f t="shared" ref="B7:B10" si="0">100*C7/$C$11</f>
        <v>6.2479307924590062</v>
      </c>
      <c r="C7" s="1">
        <f>D7*1.01</f>
        <v>47.949441672337528</v>
      </c>
      <c r="D7" s="1">
        <f>100*E7/$E$11</f>
        <v>47.474694725086664</v>
      </c>
      <c r="E7" s="16">
        <v>47</v>
      </c>
      <c r="F7" s="1"/>
    </row>
    <row r="8" spans="1:11" x14ac:dyDescent="0.25">
      <c r="A8" t="s">
        <v>27</v>
      </c>
      <c r="B8" s="17">
        <f t="shared" si="0"/>
        <v>46.329716430283767</v>
      </c>
      <c r="C8" s="1">
        <f>D8*16</f>
        <v>355.55516049426609</v>
      </c>
      <c r="D8" s="1">
        <f>100*E8/$E$11</f>
        <v>22.222197530891631</v>
      </c>
      <c r="E8" s="16">
        <v>22</v>
      </c>
      <c r="F8" s="1"/>
    </row>
    <row r="9" spans="1:11" x14ac:dyDescent="0.25">
      <c r="A9" t="s">
        <v>28</v>
      </c>
      <c r="B9" s="17">
        <f t="shared" si="0"/>
        <v>2.0269250938249149E-4</v>
      </c>
      <c r="C9" s="1">
        <f>D9*14</f>
        <v>1.5555538271624142E-3</v>
      </c>
      <c r="D9" s="1">
        <f>100*E9/$E$11</f>
        <v>1.1111098765445816E-4</v>
      </c>
      <c r="E9" s="16">
        <v>1.1E-4</v>
      </c>
    </row>
    <row r="10" spans="1:11" x14ac:dyDescent="0.25">
      <c r="A10" t="s">
        <v>26</v>
      </c>
      <c r="B10" s="17">
        <f t="shared" si="0"/>
        <v>0</v>
      </c>
      <c r="C10" s="1">
        <f>D10*35.45</f>
        <v>0</v>
      </c>
      <c r="D10" s="1">
        <f>100*E10/$E$11</f>
        <v>0</v>
      </c>
      <c r="E10" s="16">
        <v>0</v>
      </c>
    </row>
    <row r="11" spans="1:11" x14ac:dyDescent="0.25">
      <c r="A11" t="s">
        <v>29</v>
      </c>
      <c r="B11" s="29">
        <f>SUM(B6:B10)</f>
        <v>99.999999999999986</v>
      </c>
      <c r="C11" s="2">
        <f>SUM(C6:C10)</f>
        <v>767.4451472831696</v>
      </c>
      <c r="D11" s="9">
        <f>SUM(D6:D10)</f>
        <v>100</v>
      </c>
      <c r="E11" s="9">
        <f>SUM(E6:E10)</f>
        <v>99.000110000000006</v>
      </c>
    </row>
    <row r="13" spans="1:11" x14ac:dyDescent="0.25">
      <c r="A13" t="s">
        <v>98</v>
      </c>
      <c r="B13" s="29">
        <f>100-B11</f>
        <v>0</v>
      </c>
    </row>
    <row r="14" spans="1:11" x14ac:dyDescent="0.25">
      <c r="B14" s="29"/>
    </row>
    <row r="15" spans="1:11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D6/100</f>
        <v>0.30302996633034041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>D7/100</f>
        <v>0.47474694725086664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>D8/100</f>
        <v>0.2222219753089163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7.3232241863165598E-2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0.14772710858604093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0.15530285774429947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7.3232241863165598E-2</v>
      </c>
      <c r="E27" s="5" t="s">
        <v>35</v>
      </c>
      <c r="F27" s="5" t="s">
        <v>36</v>
      </c>
      <c r="G27" s="15">
        <f>C23</f>
        <v>0.14772710858604093</v>
      </c>
      <c r="H27" s="5" t="s">
        <v>38</v>
      </c>
      <c r="I27" s="5" t="s">
        <v>33</v>
      </c>
      <c r="J27" s="15">
        <f>C24</f>
        <v>0.15530285774429947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100*J27*16.05/(12.01*C17+1.01*C18+16*C19)</f>
        <v>32.479401661029002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0</v>
      </c>
      <c r="C32" t="s">
        <v>30</v>
      </c>
    </row>
    <row r="33" spans="1:3" x14ac:dyDescent="0.25">
      <c r="A33" t="s">
        <v>53</v>
      </c>
      <c r="B33" s="1">
        <f>0.3491*B6+1.17838*B7+0.1005*B10-0.1034*B8-0.0151*B9-0.0211*B13</f>
        <v>19.127013542255082</v>
      </c>
      <c r="C33" t="s">
        <v>61</v>
      </c>
    </row>
    <row r="34" spans="1:3" x14ac:dyDescent="0.25">
      <c r="A34" t="s">
        <v>55</v>
      </c>
      <c r="B34" s="1">
        <f>B33-2.44*(((B7/100)*0.018/0.002)+((B32/100)/(1-(B32/100))))</f>
        <v>17.754967940231083</v>
      </c>
      <c r="C34" t="s">
        <v>61</v>
      </c>
    </row>
    <row r="35" spans="1:3" x14ac:dyDescent="0.25">
      <c r="A35" t="s">
        <v>56</v>
      </c>
      <c r="B35" s="1">
        <f>B34*(1-(B32/100))</f>
        <v>17.754967940231083</v>
      </c>
      <c r="C35" t="s">
        <v>61</v>
      </c>
    </row>
    <row r="36" spans="1:3" x14ac:dyDescent="0.25">
      <c r="A36" t="s">
        <v>66</v>
      </c>
      <c r="B36" s="16">
        <v>18.2</v>
      </c>
      <c r="C36" t="s">
        <v>61</v>
      </c>
    </row>
    <row r="37" spans="1:3" x14ac:dyDescent="0.25">
      <c r="A37" t="s">
        <v>68</v>
      </c>
      <c r="B37" s="17">
        <f>B36*(1-(B32/100))</f>
        <v>18.2</v>
      </c>
      <c r="C37" t="s">
        <v>61</v>
      </c>
    </row>
    <row r="38" spans="1:3" x14ac:dyDescent="0.25">
      <c r="B38" s="29"/>
    </row>
    <row r="39" spans="1:3" x14ac:dyDescent="0.25">
      <c r="A39" t="s">
        <v>63</v>
      </c>
      <c r="B39" s="30">
        <v>20</v>
      </c>
      <c r="C39" t="s">
        <v>102</v>
      </c>
    </row>
    <row r="40" spans="1:3" x14ac:dyDescent="0.25">
      <c r="A40" t="s">
        <v>110</v>
      </c>
      <c r="B40" s="30">
        <v>11.6</v>
      </c>
      <c r="C40" t="s">
        <v>102</v>
      </c>
    </row>
    <row r="41" spans="1:3" x14ac:dyDescent="0.25">
      <c r="A41" t="s">
        <v>122</v>
      </c>
      <c r="B41" s="2">
        <f>B39/B37</f>
        <v>1.098901098901099</v>
      </c>
      <c r="C41" t="s">
        <v>60</v>
      </c>
    </row>
    <row r="42" spans="1:3" x14ac:dyDescent="0.25">
      <c r="A42" t="s">
        <v>123</v>
      </c>
      <c r="B42" s="2">
        <f>(1-B32/100)*B41</f>
        <v>1.098901098901099</v>
      </c>
      <c r="C42" t="s">
        <v>60</v>
      </c>
    </row>
    <row r="44" spans="1:3" x14ac:dyDescent="0.25">
      <c r="A44" t="s">
        <v>52</v>
      </c>
      <c r="B44" s="12">
        <v>49.9</v>
      </c>
      <c r="C44" t="s">
        <v>61</v>
      </c>
    </row>
    <row r="45" spans="1:3" x14ac:dyDescent="0.25">
      <c r="A45" t="s">
        <v>62</v>
      </c>
      <c r="B45" s="2">
        <f>B40/B44</f>
        <v>0.23246492985971945</v>
      </c>
      <c r="C45" t="s">
        <v>60</v>
      </c>
    </row>
    <row r="46" spans="1:3" x14ac:dyDescent="0.25">
      <c r="B46" s="2"/>
    </row>
    <row r="47" spans="1:3" x14ac:dyDescent="0.25">
      <c r="A47" s="10" t="s">
        <v>124</v>
      </c>
      <c r="B47" s="1">
        <f>B30</f>
        <v>32.479401661029002</v>
      </c>
      <c r="C47" t="s">
        <v>30</v>
      </c>
    </row>
    <row r="48" spans="1:3" x14ac:dyDescent="0.25">
      <c r="A48" t="s">
        <v>121</v>
      </c>
      <c r="B48" s="1">
        <f>100*B45/B42</f>
        <v>21.154308617234467</v>
      </c>
      <c r="C48" t="s">
        <v>30</v>
      </c>
    </row>
    <row r="49" spans="1:3" x14ac:dyDescent="0.25">
      <c r="A49" t="s">
        <v>125</v>
      </c>
      <c r="B49" s="1">
        <f>100*B48/B47</f>
        <v>65.131460357586718</v>
      </c>
      <c r="C49" t="s">
        <v>126</v>
      </c>
    </row>
    <row r="51" spans="1:3" x14ac:dyDescent="0.25">
      <c r="A51" t="s">
        <v>107</v>
      </c>
    </row>
    <row r="52" spans="1:3" x14ac:dyDescent="0.25">
      <c r="A52" t="s">
        <v>108</v>
      </c>
      <c r="B52" s="29">
        <f>100*B45*B44/(B42*B36)</f>
        <v>58</v>
      </c>
      <c r="C52" s="29"/>
    </row>
    <row r="53" spans="1:3" x14ac:dyDescent="0.25">
      <c r="A53" t="s">
        <v>109</v>
      </c>
      <c r="B53" s="29">
        <f>100*B30*B44/(100*B36)</f>
        <v>89.050667191502583</v>
      </c>
      <c r="C53" s="29"/>
    </row>
    <row r="54" spans="1:3" x14ac:dyDescent="0.25">
      <c r="A54" t="s">
        <v>161</v>
      </c>
      <c r="B54" s="33">
        <f>100*B30*B44/(100*B36)</f>
        <v>89.050667191502583</v>
      </c>
      <c r="C54" s="20" t="s">
        <v>117</v>
      </c>
    </row>
    <row r="56" spans="1:3" x14ac:dyDescent="0.25">
      <c r="A56" t="s">
        <v>148</v>
      </c>
      <c r="B56" s="38">
        <v>0</v>
      </c>
      <c r="C56" s="20" t="s">
        <v>117</v>
      </c>
    </row>
    <row r="57" spans="1:3" x14ac:dyDescent="0.25">
      <c r="A57" s="34"/>
      <c r="B57" s="34"/>
    </row>
    <row r="58" spans="1:3" x14ac:dyDescent="0.25">
      <c r="A58" s="34"/>
      <c r="B58" s="34"/>
    </row>
    <row r="59" spans="1:3" x14ac:dyDescent="0.25">
      <c r="A59" s="34"/>
      <c r="B59" s="34"/>
    </row>
    <row r="60" spans="1:3" x14ac:dyDescent="0.25">
      <c r="A60" s="34"/>
      <c r="B60" s="35"/>
    </row>
    <row r="61" spans="1:3" x14ac:dyDescent="0.25">
      <c r="A61" s="34"/>
      <c r="B61" s="35"/>
    </row>
    <row r="62" spans="1:3" x14ac:dyDescent="0.25">
      <c r="A62" s="34"/>
      <c r="B62" s="35"/>
    </row>
    <row r="63" spans="1:3" x14ac:dyDescent="0.25">
      <c r="A63" s="34"/>
      <c r="B63" s="34"/>
    </row>
    <row r="64" spans="1:3" x14ac:dyDescent="0.25">
      <c r="A64" s="34"/>
      <c r="B64" s="34"/>
    </row>
    <row r="74" spans="1:3" x14ac:dyDescent="0.25">
      <c r="A74" t="s">
        <v>152</v>
      </c>
      <c r="B74">
        <v>0.62790000000000001</v>
      </c>
      <c r="C74" t="s">
        <v>153</v>
      </c>
    </row>
    <row r="75" spans="1:3" x14ac:dyDescent="0.25">
      <c r="B75" s="37">
        <f>B74*3600/1000</f>
        <v>2.26044</v>
      </c>
      <c r="C75" t="s">
        <v>154</v>
      </c>
    </row>
    <row r="76" spans="1:3" x14ac:dyDescent="0.25">
      <c r="A76" t="s">
        <v>151</v>
      </c>
      <c r="B76">
        <f>B75*B42</f>
        <v>2.4840000000000004</v>
      </c>
      <c r="C76" t="s">
        <v>102</v>
      </c>
    </row>
    <row r="78" spans="1:3" x14ac:dyDescent="0.25">
      <c r="A78" t="s">
        <v>155</v>
      </c>
      <c r="B78">
        <v>0.58589999999999998</v>
      </c>
      <c r="C78" t="s">
        <v>153</v>
      </c>
    </row>
    <row r="79" spans="1:3" x14ac:dyDescent="0.25">
      <c r="B79" s="37">
        <f>B78*3600/1000</f>
        <v>2.1092399999999998</v>
      </c>
      <c r="C79" t="s">
        <v>154</v>
      </c>
    </row>
    <row r="80" spans="1:3" x14ac:dyDescent="0.25">
      <c r="A80" t="s">
        <v>156</v>
      </c>
      <c r="B80" s="37">
        <f>B79*B42</f>
        <v>2.3178461538461539</v>
      </c>
      <c r="C80" t="s">
        <v>102</v>
      </c>
    </row>
    <row r="82" spans="1:2" x14ac:dyDescent="0.25">
      <c r="A82" t="s">
        <v>157</v>
      </c>
      <c r="B82">
        <f>B76</f>
        <v>2.4840000000000004</v>
      </c>
    </row>
    <row r="83" spans="1:2" x14ac:dyDescent="0.25">
      <c r="A83" t="s">
        <v>158</v>
      </c>
      <c r="B83" s="37">
        <f>B80</f>
        <v>2.3178461538461539</v>
      </c>
    </row>
    <row r="84" spans="1:2" x14ac:dyDescent="0.25">
      <c r="A84" t="s">
        <v>145</v>
      </c>
    </row>
    <row r="85" spans="1:2" x14ac:dyDescent="0.25">
      <c r="A85" t="s">
        <v>148</v>
      </c>
      <c r="B85" s="29">
        <f>100*(B45*B44+B83)/(B42*B36)</f>
        <v>69.589230769230767</v>
      </c>
    </row>
    <row r="86" spans="1:2" x14ac:dyDescent="0.25">
      <c r="A86" t="s">
        <v>149</v>
      </c>
      <c r="B86" s="29">
        <f>100*(B30*B44+B83)/(100*B36+B82)</f>
        <v>89.056473968451485</v>
      </c>
    </row>
    <row r="87" spans="1:2" x14ac:dyDescent="0.25">
      <c r="A87" t="s">
        <v>150</v>
      </c>
      <c r="B87" s="29">
        <f>100*B85/B86</f>
        <v>78.140563698808634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topLeftCell="A52" workbookViewId="0">
      <selection activeCell="B70" sqref="B70"/>
    </sheetView>
  </sheetViews>
  <sheetFormatPr defaultRowHeight="15" x14ac:dyDescent="0.25"/>
  <cols>
    <col min="1" max="1" width="46.08984375" bestFit="1" customWidth="1"/>
    <col min="3" max="4" width="10.26953125" bestFit="1" customWidth="1"/>
  </cols>
  <sheetData>
    <row r="1" spans="1:15" x14ac:dyDescent="0.25">
      <c r="A1" t="s">
        <v>241</v>
      </c>
      <c r="G1" s="34"/>
      <c r="H1" s="34"/>
      <c r="I1" s="34"/>
      <c r="J1" s="34"/>
      <c r="K1" s="34"/>
      <c r="L1" s="34"/>
      <c r="M1" s="34"/>
      <c r="N1" s="34"/>
      <c r="O1" s="34"/>
    </row>
    <row r="2" spans="1:15" x14ac:dyDescent="0.25">
      <c r="A2" t="s">
        <v>70</v>
      </c>
      <c r="B2" s="12"/>
      <c r="G2" s="34"/>
      <c r="H2" s="34"/>
      <c r="I2" s="34"/>
      <c r="J2" s="34"/>
      <c r="K2" s="34"/>
      <c r="L2" s="34"/>
      <c r="M2" s="34"/>
      <c r="N2" s="34"/>
      <c r="O2" s="34"/>
    </row>
    <row r="3" spans="1:15" x14ac:dyDescent="0.25">
      <c r="G3" s="34"/>
      <c r="H3" s="34"/>
      <c r="I3" s="34"/>
      <c r="J3" s="34"/>
      <c r="K3" s="34"/>
      <c r="L3" s="34"/>
      <c r="M3" s="34"/>
      <c r="N3" s="34"/>
      <c r="O3" s="34"/>
    </row>
    <row r="4" spans="1:15" x14ac:dyDescent="0.25">
      <c r="G4" s="34"/>
      <c r="H4" s="34"/>
      <c r="I4" s="34"/>
      <c r="J4" s="34"/>
      <c r="K4" s="34"/>
      <c r="L4" s="34"/>
      <c r="M4" s="34"/>
      <c r="N4" s="34"/>
      <c r="O4" s="34"/>
    </row>
    <row r="5" spans="1:15" x14ac:dyDescent="0.25">
      <c r="A5" t="s">
        <v>54</v>
      </c>
      <c r="B5" t="s">
        <v>30</v>
      </c>
      <c r="C5" t="s">
        <v>50</v>
      </c>
      <c r="H5" s="34"/>
      <c r="I5" s="34"/>
      <c r="J5" s="34"/>
      <c r="K5" s="34"/>
      <c r="L5" s="34"/>
      <c r="M5" s="34"/>
      <c r="N5" s="34"/>
      <c r="O5" s="34"/>
    </row>
    <row r="6" spans="1:15" x14ac:dyDescent="0.25">
      <c r="A6" t="s">
        <v>24</v>
      </c>
      <c r="B6" s="16">
        <v>49.07</v>
      </c>
      <c r="C6" s="2">
        <f>B6/12.01</f>
        <v>4.0857618651124064</v>
      </c>
      <c r="D6" s="1"/>
      <c r="F6" s="1"/>
      <c r="H6" s="17"/>
      <c r="I6" s="17"/>
      <c r="J6" s="17"/>
      <c r="K6" s="17"/>
      <c r="L6" s="17"/>
      <c r="M6" s="17"/>
      <c r="N6" s="17"/>
      <c r="O6" s="34"/>
    </row>
    <row r="7" spans="1:15" x14ac:dyDescent="0.25">
      <c r="A7" t="s">
        <v>25</v>
      </c>
      <c r="B7" s="16">
        <v>6.48</v>
      </c>
      <c r="C7" s="2">
        <f>B7/1.01</f>
        <v>6.4158415841584162</v>
      </c>
      <c r="D7" s="1"/>
      <c r="F7" s="1"/>
      <c r="G7" s="1"/>
      <c r="H7" s="17"/>
      <c r="I7" s="17"/>
      <c r="J7" s="17"/>
      <c r="K7" s="34"/>
      <c r="L7" s="17"/>
      <c r="M7" s="17"/>
      <c r="N7" s="17"/>
      <c r="O7" s="34"/>
    </row>
    <row r="8" spans="1:15" x14ac:dyDescent="0.25">
      <c r="A8" t="s">
        <v>27</v>
      </c>
      <c r="B8" s="16">
        <v>38.29</v>
      </c>
      <c r="C8" s="2">
        <f>B8/16</f>
        <v>2.3931249999999999</v>
      </c>
      <c r="D8" s="1"/>
      <c r="F8" s="1"/>
      <c r="G8" s="1"/>
      <c r="H8" s="17"/>
      <c r="I8" s="17"/>
      <c r="J8" s="17"/>
      <c r="K8" s="34"/>
      <c r="L8" s="17"/>
      <c r="M8" s="17"/>
      <c r="N8" s="17"/>
      <c r="O8" s="34"/>
    </row>
    <row r="9" spans="1:15" x14ac:dyDescent="0.25">
      <c r="A9" t="s">
        <v>28</v>
      </c>
      <c r="B9" s="16">
        <v>0.7</v>
      </c>
      <c r="C9" s="2">
        <f>D9/14.01</f>
        <v>0</v>
      </c>
      <c r="D9" s="1"/>
      <c r="F9" s="1"/>
      <c r="G9" s="34"/>
      <c r="H9" s="17"/>
      <c r="I9" s="17"/>
      <c r="J9" s="17"/>
      <c r="K9" s="34"/>
      <c r="L9" s="17"/>
      <c r="M9" s="17"/>
      <c r="N9" s="17"/>
      <c r="O9" s="34"/>
    </row>
    <row r="10" spans="1:15" x14ac:dyDescent="0.25">
      <c r="A10" t="s">
        <v>26</v>
      </c>
      <c r="B10" s="16">
        <v>0.1</v>
      </c>
      <c r="C10" s="2">
        <f>B10/32.07</f>
        <v>3.1181789834736516E-3</v>
      </c>
      <c r="D10" s="1"/>
      <c r="F10" s="1"/>
      <c r="G10" s="34"/>
      <c r="H10" s="17"/>
      <c r="I10" s="17"/>
      <c r="J10" s="17"/>
      <c r="K10" s="34"/>
      <c r="L10" s="17"/>
      <c r="M10" s="17"/>
      <c r="N10" s="17"/>
      <c r="O10" s="34"/>
    </row>
    <row r="11" spans="1:15" x14ac:dyDescent="0.25">
      <c r="A11" t="s">
        <v>29</v>
      </c>
      <c r="B11" s="1">
        <f>SUM(B6:B10)</f>
        <v>94.64</v>
      </c>
      <c r="C11" s="2">
        <f>SUM(C6:C10)</f>
        <v>12.897846628254296</v>
      </c>
      <c r="D11" s="1"/>
      <c r="F11" s="9"/>
      <c r="G11" s="34"/>
      <c r="H11" s="35"/>
      <c r="I11" s="35"/>
      <c r="J11" s="17"/>
      <c r="K11" s="34"/>
      <c r="L11" s="35"/>
      <c r="M11" s="35"/>
      <c r="N11" s="17"/>
      <c r="O11" s="34"/>
    </row>
    <row r="12" spans="1:15" x14ac:dyDescent="0.25">
      <c r="G12" s="34"/>
      <c r="H12" s="34"/>
      <c r="I12" s="34"/>
      <c r="J12" s="34"/>
      <c r="K12" s="34"/>
      <c r="L12" s="34"/>
      <c r="M12" s="34"/>
      <c r="N12" s="34"/>
      <c r="O12" s="34"/>
    </row>
    <row r="13" spans="1:15" x14ac:dyDescent="0.25">
      <c r="A13" t="s">
        <v>98</v>
      </c>
      <c r="B13" s="16">
        <v>5.36</v>
      </c>
    </row>
    <row r="14" spans="1:15" x14ac:dyDescent="0.25">
      <c r="A14" t="s">
        <v>140</v>
      </c>
      <c r="B14" s="29">
        <v>100</v>
      </c>
    </row>
    <row r="15" spans="1:15" x14ac:dyDescent="0.25">
      <c r="A15" s="3" t="s">
        <v>48</v>
      </c>
      <c r="B15" s="5" t="s">
        <v>32</v>
      </c>
      <c r="C15" s="5" t="s">
        <v>33</v>
      </c>
      <c r="D15" s="14" t="s">
        <v>34</v>
      </c>
      <c r="E15" s="5" t="s">
        <v>35</v>
      </c>
      <c r="F15" s="5" t="s">
        <v>36</v>
      </c>
      <c r="G15" s="14" t="s">
        <v>37</v>
      </c>
      <c r="H15" s="5" t="s">
        <v>38</v>
      </c>
      <c r="I15" s="5" t="s">
        <v>33</v>
      </c>
      <c r="J15" s="14" t="s">
        <v>39</v>
      </c>
      <c r="K15" s="5" t="s">
        <v>40</v>
      </c>
    </row>
    <row r="16" spans="1:15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</row>
    <row r="17" spans="1:11" x14ac:dyDescent="0.25">
      <c r="A17" s="3" t="s">
        <v>41</v>
      </c>
      <c r="B17" s="3" t="s">
        <v>42</v>
      </c>
      <c r="C17" s="19">
        <f>C6</f>
        <v>4.0857618651124064</v>
      </c>
      <c r="D17" s="3"/>
      <c r="E17" s="3"/>
      <c r="F17" s="3"/>
      <c r="G17" s="3"/>
      <c r="H17" s="3"/>
      <c r="I17" s="3"/>
      <c r="J17" s="3"/>
      <c r="K17" s="3"/>
    </row>
    <row r="18" spans="1:11" x14ac:dyDescent="0.25">
      <c r="A18" s="3"/>
      <c r="B18" s="3" t="s">
        <v>43</v>
      </c>
      <c r="C18" s="19">
        <f>C7</f>
        <v>6.4158415841584162</v>
      </c>
      <c r="D18" s="3"/>
      <c r="E18" s="3"/>
      <c r="F18" s="3"/>
      <c r="G18" s="3"/>
      <c r="H18" s="3"/>
      <c r="I18" s="3"/>
      <c r="J18" s="3"/>
      <c r="K18" s="3"/>
    </row>
    <row r="19" spans="1:11" x14ac:dyDescent="0.25">
      <c r="A19" s="3"/>
      <c r="B19" s="3" t="s">
        <v>44</v>
      </c>
      <c r="C19" s="19">
        <f>C8</f>
        <v>2.3931249999999999</v>
      </c>
      <c r="D19" s="3"/>
      <c r="E19" s="3"/>
      <c r="F19" s="3"/>
      <c r="G19" s="3"/>
      <c r="H19" s="3"/>
      <c r="I19" s="3"/>
      <c r="J19" s="3"/>
      <c r="K19" s="3"/>
    </row>
    <row r="20" spans="1:11" x14ac:dyDescent="0.25">
      <c r="A20" s="3"/>
      <c r="B20" s="10"/>
      <c r="C20" s="3"/>
      <c r="D20" s="3"/>
      <c r="E20" s="3"/>
      <c r="F20" s="3"/>
      <c r="G20" s="3"/>
      <c r="H20" s="3"/>
      <c r="I20" s="3"/>
      <c r="J20" s="3"/>
      <c r="K20" s="3"/>
    </row>
    <row r="21" spans="1:11" x14ac:dyDescent="0.25">
      <c r="A21" s="3" t="s">
        <v>45</v>
      </c>
      <c r="B21" s="3"/>
      <c r="C21" s="3"/>
      <c r="D21" s="3"/>
      <c r="E21" s="3"/>
      <c r="F21" s="3"/>
      <c r="G21" s="3"/>
      <c r="H21" s="3"/>
      <c r="I21" s="3"/>
      <c r="J21" s="3"/>
      <c r="K21" s="3"/>
    </row>
    <row r="22" spans="1:11" x14ac:dyDescent="0.25">
      <c r="A22" s="3" t="s">
        <v>49</v>
      </c>
      <c r="B22" s="3" t="s">
        <v>34</v>
      </c>
      <c r="C22" s="13">
        <f>C17-(0.25*C18)-0.5*C19</f>
        <v>1.2852389690728023</v>
      </c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3"/>
      <c r="B23" s="3" t="s">
        <v>37</v>
      </c>
      <c r="C23" s="13">
        <f>(0.5*C17)-(0.125*C18)+(0.25*C19)</f>
        <v>1.8391819845364012</v>
      </c>
      <c r="D23" s="3"/>
      <c r="E23" s="3"/>
      <c r="F23" s="3"/>
      <c r="G23" s="3"/>
      <c r="H23" s="3"/>
      <c r="I23" s="3"/>
      <c r="J23" s="3"/>
      <c r="K23" s="3"/>
    </row>
    <row r="24" spans="1:11" x14ac:dyDescent="0.25">
      <c r="A24" s="3"/>
      <c r="B24" s="3" t="s">
        <v>39</v>
      </c>
      <c r="C24" s="13">
        <f>(0.5*C17)+(0.125*C18)-(0.25*C19)</f>
        <v>2.2465798805760051</v>
      </c>
      <c r="D24" s="3"/>
      <c r="E24" s="3"/>
      <c r="F24" s="3"/>
      <c r="G24" s="3"/>
      <c r="H24" s="3"/>
      <c r="I24" s="3"/>
      <c r="J24" s="3"/>
      <c r="K24" s="3"/>
    </row>
    <row r="25" spans="1:1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6" spans="1:11" x14ac:dyDescent="0.25">
      <c r="A26" s="3" t="s">
        <v>46</v>
      </c>
      <c r="B26" s="3"/>
      <c r="C26" s="3"/>
      <c r="D26" s="3"/>
      <c r="E26" s="3"/>
      <c r="F26" s="3"/>
      <c r="G26" s="3"/>
      <c r="H26" s="3"/>
      <c r="I26" s="3"/>
      <c r="J26" s="3"/>
      <c r="K26" s="3"/>
    </row>
    <row r="27" spans="1:11" x14ac:dyDescent="0.25">
      <c r="A27" s="3" t="s">
        <v>48</v>
      </c>
      <c r="B27" s="5" t="s">
        <v>32</v>
      </c>
      <c r="C27" s="5" t="s">
        <v>33</v>
      </c>
      <c r="D27" s="15">
        <f>C22</f>
        <v>1.2852389690728023</v>
      </c>
      <c r="E27" s="5" t="s">
        <v>35</v>
      </c>
      <c r="F27" s="5" t="s">
        <v>36</v>
      </c>
      <c r="G27" s="15">
        <f>C23</f>
        <v>1.8391819845364012</v>
      </c>
      <c r="H27" s="5" t="s">
        <v>38</v>
      </c>
      <c r="I27" s="5" t="s">
        <v>33</v>
      </c>
      <c r="J27" s="15">
        <f>C24</f>
        <v>2.2465798805760051</v>
      </c>
      <c r="K27" s="5" t="s">
        <v>40</v>
      </c>
    </row>
    <row r="28" spans="1:1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</row>
    <row r="29" spans="1:11" x14ac:dyDescent="0.25">
      <c r="A29" t="s">
        <v>59</v>
      </c>
      <c r="B29" s="3"/>
      <c r="C29" s="3"/>
      <c r="D29" s="3"/>
      <c r="E29" s="3"/>
      <c r="F29" s="3"/>
      <c r="G29" s="3"/>
      <c r="H29" s="3"/>
      <c r="I29" s="3"/>
      <c r="J29" s="3"/>
      <c r="K29" s="3"/>
    </row>
    <row r="30" spans="1:11" x14ac:dyDescent="0.25">
      <c r="A30" s="10" t="s">
        <v>58</v>
      </c>
      <c r="B30" s="18">
        <f>J27*16.05</f>
        <v>36.057607083244882</v>
      </c>
      <c r="C30" s="10" t="s">
        <v>30</v>
      </c>
      <c r="D30" s="3"/>
      <c r="E30" s="3"/>
      <c r="F30" s="3"/>
      <c r="G30" s="3"/>
      <c r="H30" s="3"/>
      <c r="I30" s="3"/>
      <c r="J30" s="3"/>
      <c r="K30" s="3"/>
    </row>
    <row r="31" spans="1:11" x14ac:dyDescent="0.25">
      <c r="B31" s="29"/>
    </row>
    <row r="32" spans="1:11" x14ac:dyDescent="0.25">
      <c r="A32" t="s">
        <v>99</v>
      </c>
      <c r="B32" s="12">
        <v>50</v>
      </c>
      <c r="C32" t="s">
        <v>30</v>
      </c>
    </row>
    <row r="33" spans="1:8" x14ac:dyDescent="0.25">
      <c r="A33" t="s">
        <v>142</v>
      </c>
      <c r="B33" s="1">
        <f>0.3491*B6+1.17838*B7+0.1005*B10-0.1034*B8-0.0151*B9-0.0211*B13</f>
        <v>20.693437400000001</v>
      </c>
      <c r="C33" t="s">
        <v>61</v>
      </c>
    </row>
    <row r="34" spans="1:8" x14ac:dyDescent="0.25">
      <c r="A34" t="s">
        <v>141</v>
      </c>
      <c r="B34" s="1">
        <f>B33-2.44*(((B7/100)*0.018/0.002)+((B32/100)/(1-(B32/100))))</f>
        <v>16.8304294</v>
      </c>
      <c r="C34" t="s">
        <v>61</v>
      </c>
    </row>
    <row r="35" spans="1:8" x14ac:dyDescent="0.25">
      <c r="A35" t="s">
        <v>143</v>
      </c>
      <c r="B35" s="1">
        <f>B34*(1-(B32/100))</f>
        <v>8.4152146999999999</v>
      </c>
      <c r="C35" t="s">
        <v>61</v>
      </c>
    </row>
    <row r="36" spans="1:8" x14ac:dyDescent="0.25">
      <c r="A36" t="s">
        <v>119</v>
      </c>
      <c r="B36" s="16">
        <v>19.25</v>
      </c>
      <c r="C36" t="s">
        <v>61</v>
      </c>
    </row>
    <row r="37" spans="1:8" x14ac:dyDescent="0.25">
      <c r="A37" t="s">
        <v>120</v>
      </c>
      <c r="B37" s="17">
        <f>B36*(1-(B32/100))</f>
        <v>9.625</v>
      </c>
      <c r="C37" t="s">
        <v>61</v>
      </c>
    </row>
    <row r="38" spans="1:8" x14ac:dyDescent="0.25">
      <c r="B38" s="29"/>
    </row>
    <row r="39" spans="1:8" x14ac:dyDescent="0.25">
      <c r="A39" t="s">
        <v>100</v>
      </c>
      <c r="B39" s="30">
        <v>3000</v>
      </c>
      <c r="C39" t="s">
        <v>65</v>
      </c>
    </row>
    <row r="40" spans="1:8" x14ac:dyDescent="0.25">
      <c r="A40" t="s">
        <v>100</v>
      </c>
      <c r="B40" s="2">
        <f>B39/3600</f>
        <v>0.83333333333333337</v>
      </c>
      <c r="C40" t="s">
        <v>60</v>
      </c>
    </row>
    <row r="41" spans="1:8" x14ac:dyDescent="0.25">
      <c r="A41" t="s">
        <v>101</v>
      </c>
      <c r="B41" s="2">
        <f>(1-B32/100)*B40</f>
        <v>0.41666666666666669</v>
      </c>
      <c r="C41" t="s">
        <v>60</v>
      </c>
    </row>
    <row r="42" spans="1:8" x14ac:dyDescent="0.25">
      <c r="B42" s="29"/>
    </row>
    <row r="43" spans="1:8" x14ac:dyDescent="0.25">
      <c r="A43" t="s">
        <v>114</v>
      </c>
      <c r="B43" t="s">
        <v>65</v>
      </c>
      <c r="C43" t="s">
        <v>30</v>
      </c>
    </row>
    <row r="44" spans="1:8" x14ac:dyDescent="0.25">
      <c r="A44" t="s">
        <v>40</v>
      </c>
      <c r="B44" s="12">
        <v>370</v>
      </c>
      <c r="C44" s="1">
        <f>100*B44/$B$48</f>
        <v>99.350196015251612</v>
      </c>
    </row>
    <row r="45" spans="1:8" x14ac:dyDescent="0.25">
      <c r="A45" t="s">
        <v>38</v>
      </c>
      <c r="B45" s="16">
        <v>0.01</v>
      </c>
      <c r="C45" s="1">
        <f>100*B45/$B$48</f>
        <v>2.6851404328446381E-3</v>
      </c>
    </row>
    <row r="46" spans="1:8" x14ac:dyDescent="0.25">
      <c r="A46" t="s">
        <v>112</v>
      </c>
      <c r="B46" s="16">
        <v>0.14000000000000001</v>
      </c>
      <c r="C46" s="1">
        <f>100*B46/$B$48</f>
        <v>3.7591966059824941E-2</v>
      </c>
    </row>
    <row r="47" spans="1:8" x14ac:dyDescent="0.25">
      <c r="A47" t="s">
        <v>103</v>
      </c>
      <c r="B47" s="16">
        <v>2.27</v>
      </c>
      <c r="C47" s="1">
        <f>100*B47/$B$48</f>
        <v>0.60952687825573282</v>
      </c>
    </row>
    <row r="48" spans="1:8" x14ac:dyDescent="0.25">
      <c r="A48" s="34" t="s">
        <v>29</v>
      </c>
      <c r="B48" s="17">
        <f>SUM(B44:B47)</f>
        <v>372.41999999999996</v>
      </c>
      <c r="C48" s="17">
        <f>SUM(C44:C47)</f>
        <v>100.00000000000001</v>
      </c>
      <c r="D48" s="34"/>
      <c r="E48" s="34"/>
      <c r="F48" s="34"/>
      <c r="G48" s="34"/>
      <c r="H48" s="34"/>
    </row>
    <row r="49" spans="1:8" x14ac:dyDescent="0.25">
      <c r="A49" s="34"/>
      <c r="B49" s="17"/>
      <c r="C49" s="34"/>
      <c r="D49" s="34"/>
      <c r="E49" s="34"/>
      <c r="F49" s="34"/>
      <c r="G49" s="34"/>
      <c r="H49" s="34"/>
    </row>
    <row r="50" spans="1:8" x14ac:dyDescent="0.25">
      <c r="A50" t="s">
        <v>52</v>
      </c>
      <c r="B50" s="12">
        <v>49.9</v>
      </c>
      <c r="C50" t="s">
        <v>61</v>
      </c>
      <c r="E50" s="34"/>
      <c r="F50" s="34"/>
      <c r="G50" s="34"/>
      <c r="H50" s="34"/>
    </row>
    <row r="51" spans="1:8" x14ac:dyDescent="0.25">
      <c r="A51" t="s">
        <v>105</v>
      </c>
      <c r="B51" s="12">
        <v>120.1</v>
      </c>
      <c r="C51" t="s">
        <v>61</v>
      </c>
      <c r="E51" s="34"/>
      <c r="F51" s="34"/>
      <c r="G51" s="34"/>
      <c r="H51" s="34"/>
    </row>
    <row r="52" spans="1:8" x14ac:dyDescent="0.25">
      <c r="A52" t="s">
        <v>118</v>
      </c>
      <c r="B52" s="12">
        <v>10.199999999999999</v>
      </c>
      <c r="C52" t="s">
        <v>61</v>
      </c>
      <c r="E52" s="34"/>
      <c r="F52" s="34"/>
      <c r="G52" s="34"/>
      <c r="H52" s="34"/>
    </row>
    <row r="53" spans="1:8" x14ac:dyDescent="0.25">
      <c r="A53" t="s">
        <v>113</v>
      </c>
      <c r="B53" s="35">
        <f>(C44/100)*B50+(C46/100)*B52+(C47/100)*B51</f>
        <v>50.311623972933795</v>
      </c>
      <c r="C53" t="s">
        <v>61</v>
      </c>
      <c r="D53" s="34"/>
      <c r="E53" s="34"/>
      <c r="F53" s="34"/>
      <c r="G53" s="34"/>
      <c r="H53" s="34"/>
    </row>
    <row r="54" spans="1:8" x14ac:dyDescent="0.25">
      <c r="A54" s="34"/>
      <c r="B54" s="17"/>
      <c r="C54" s="34"/>
      <c r="D54" s="34"/>
      <c r="E54" s="34"/>
      <c r="F54" s="34"/>
      <c r="G54" s="34"/>
      <c r="H54" s="34"/>
    </row>
    <row r="55" spans="1:8" x14ac:dyDescent="0.25">
      <c r="A55" t="s">
        <v>62</v>
      </c>
      <c r="B55" s="2">
        <f>B44/3600</f>
        <v>0.10277777777777777</v>
      </c>
      <c r="C55" t="s">
        <v>60</v>
      </c>
    </row>
    <row r="56" spans="1:8" x14ac:dyDescent="0.25">
      <c r="A56" t="s">
        <v>106</v>
      </c>
      <c r="B56" s="2">
        <f>B48/3600</f>
        <v>0.10344999999999999</v>
      </c>
      <c r="C56" t="s">
        <v>60</v>
      </c>
    </row>
    <row r="57" spans="1:8" x14ac:dyDescent="0.25">
      <c r="B57" s="2"/>
    </row>
    <row r="58" spans="1:8" x14ac:dyDescent="0.25">
      <c r="A58" s="10" t="s">
        <v>124</v>
      </c>
      <c r="B58" s="1">
        <f>B30</f>
        <v>36.057607083244882</v>
      </c>
      <c r="C58" t="s">
        <v>30</v>
      </c>
    </row>
    <row r="59" spans="1:8" x14ac:dyDescent="0.25">
      <c r="A59" t="s">
        <v>121</v>
      </c>
      <c r="B59" s="1">
        <f>100*B55/0.4025</f>
        <v>25.534851621808141</v>
      </c>
      <c r="C59" t="s">
        <v>30</v>
      </c>
    </row>
    <row r="60" spans="1:8" x14ac:dyDescent="0.25">
      <c r="A60" t="s">
        <v>144</v>
      </c>
      <c r="B60" s="1">
        <f>100*B59/B58</f>
        <v>70.816822544149304</v>
      </c>
      <c r="C60" t="s">
        <v>126</v>
      </c>
    </row>
    <row r="62" spans="1:8" x14ac:dyDescent="0.25">
      <c r="A62" t="s">
        <v>107</v>
      </c>
    </row>
    <row r="63" spans="1:8" x14ac:dyDescent="0.25">
      <c r="A63" t="s">
        <v>108</v>
      </c>
      <c r="B63" s="29">
        <f>100*B44*13.8/(2.34*3000)</f>
        <v>72.73504273504274</v>
      </c>
      <c r="C63" s="29" t="s">
        <v>171</v>
      </c>
    </row>
    <row r="64" spans="1:8" x14ac:dyDescent="0.25">
      <c r="A64" t="s">
        <v>109</v>
      </c>
      <c r="B64" s="29">
        <f>100*B30*B50/(100*B34)</f>
        <v>106.90604206770385</v>
      </c>
      <c r="C64" s="29" t="s">
        <v>170</v>
      </c>
    </row>
    <row r="65" spans="1:3" x14ac:dyDescent="0.25">
      <c r="A65" t="s">
        <v>161</v>
      </c>
      <c r="B65" s="29">
        <f>100*B48*13.97/(3000*2.323)</f>
        <v>74.655006457167445</v>
      </c>
      <c r="C65" s="29" t="s">
        <v>172</v>
      </c>
    </row>
    <row r="67" spans="1:3" x14ac:dyDescent="0.25">
      <c r="A67" t="s">
        <v>146</v>
      </c>
      <c r="B67">
        <v>0.83699999999999997</v>
      </c>
    </row>
    <row r="68" spans="1:3" x14ac:dyDescent="0.25">
      <c r="A68" t="s">
        <v>147</v>
      </c>
      <c r="B68">
        <v>1.149</v>
      </c>
    </row>
    <row r="69" spans="1:3" x14ac:dyDescent="0.25">
      <c r="A69" t="s">
        <v>145</v>
      </c>
    </row>
    <row r="70" spans="1:3" x14ac:dyDescent="0.25">
      <c r="A70" t="s">
        <v>148</v>
      </c>
      <c r="B70" s="29">
        <f>100*(370*13.8+621)/(3000*2.34+640)</f>
        <v>74.765013054830291</v>
      </c>
    </row>
    <row r="71" spans="1:3" x14ac:dyDescent="0.25">
      <c r="A71" t="s">
        <v>167</v>
      </c>
      <c r="B71" s="29">
        <f>100*(372.42*13.8+621)/(3000*2.34+640)</f>
        <v>75.200992167101845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metadata</vt:lpstr>
      <vt:lpstr>Table 8 Journals</vt:lpstr>
      <vt:lpstr>Reaction of biomass to CH4</vt:lpstr>
      <vt:lpstr>Fendt</vt:lpstr>
      <vt:lpstr>Tremel</vt:lpstr>
      <vt:lpstr>Meijden</vt:lpstr>
      <vt:lpstr>Gassner</vt:lpstr>
      <vt:lpstr>Duret</vt:lpstr>
      <vt:lpstr>OurWork(a)</vt:lpstr>
      <vt:lpstr>OurWork(b)</vt:lpstr>
      <vt:lpstr>heat duty by unit</vt:lpstr>
      <vt:lpstr>Table-Summary</vt:lpstr>
    </vt:vector>
  </TitlesOfParts>
  <Company>University of Leeds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Valerie Dupont</cp:lastModifiedBy>
  <dcterms:created xsi:type="dcterms:W3CDTF">2017-06-13T11:12:25Z</dcterms:created>
  <dcterms:modified xsi:type="dcterms:W3CDTF">2019-10-17T14:38:51Z</dcterms:modified>
</cp:coreProperties>
</file>