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225" windowWidth="14805" windowHeight="7890" tabRatio="701"/>
  </bookViews>
  <sheets>
    <sheet name="ACN" sheetId="5" r:id="rId1"/>
    <sheet name="Formulas" sheetId="2" r:id="rId2"/>
    <sheet name="MeCN" sheetId="3" r:id="rId3"/>
  </sheets>
  <calcPr calcId="145621"/>
</workbook>
</file>

<file path=xl/calcChain.xml><?xml version="1.0" encoding="utf-8"?>
<calcChain xmlns="http://schemas.openxmlformats.org/spreadsheetml/2006/main">
  <c r="L18" i="5" l="1"/>
  <c r="L17" i="5"/>
  <c r="L16" i="5"/>
  <c r="L15" i="5"/>
  <c r="L14" i="5"/>
  <c r="L13" i="5"/>
  <c r="L12" i="5"/>
  <c r="L11" i="5"/>
  <c r="L10" i="5"/>
  <c r="L9" i="5"/>
  <c r="L8" i="5"/>
  <c r="L7" i="5"/>
  <c r="C19" i="5" l="1"/>
  <c r="B11" i="2" l="1"/>
  <c r="H18" i="5"/>
  <c r="G18" i="5"/>
  <c r="F18" i="5"/>
  <c r="C18" i="5"/>
  <c r="H17" i="5"/>
  <c r="G17" i="5"/>
  <c r="F17" i="5"/>
  <c r="C17" i="5"/>
  <c r="H16" i="5"/>
  <c r="G16" i="5"/>
  <c r="F16" i="5"/>
  <c r="C16" i="5"/>
  <c r="H15" i="5"/>
  <c r="G15" i="5"/>
  <c r="F15" i="5"/>
  <c r="C15" i="5"/>
  <c r="H14" i="5"/>
  <c r="G14" i="5"/>
  <c r="F14" i="5"/>
  <c r="C14" i="5"/>
  <c r="H13" i="5"/>
  <c r="F13" i="5"/>
  <c r="G13" i="5" s="1"/>
  <c r="C13" i="5"/>
  <c r="H12" i="5"/>
  <c r="G12" i="5"/>
  <c r="F12" i="5"/>
  <c r="C12" i="5"/>
  <c r="H11" i="5"/>
  <c r="G11" i="5"/>
  <c r="F11" i="5"/>
  <c r="C11" i="5"/>
  <c r="H10" i="5"/>
  <c r="G10" i="5"/>
  <c r="F10" i="5"/>
  <c r="C10" i="5"/>
  <c r="H9" i="5"/>
  <c r="G9" i="5"/>
  <c r="F9" i="5"/>
  <c r="C9" i="5"/>
  <c r="H8" i="5"/>
  <c r="F8" i="5"/>
  <c r="G8" i="5" s="1"/>
  <c r="C8" i="5"/>
  <c r="H7" i="5"/>
  <c r="G7" i="5"/>
  <c r="F7" i="5"/>
  <c r="C7" i="5"/>
  <c r="F4" i="5"/>
  <c r="I4" i="5"/>
  <c r="I2" i="5"/>
  <c r="A25" i="3"/>
  <c r="C25" i="3" s="1"/>
  <c r="D25" i="3" s="1"/>
  <c r="I19" i="5" s="1"/>
  <c r="C26" i="3"/>
  <c r="D26" i="3" s="1"/>
  <c r="A26" i="3"/>
  <c r="I7" i="5" l="1"/>
  <c r="J7" i="5" s="1"/>
  <c r="K7" i="5" s="1"/>
  <c r="M7" i="5" s="1"/>
  <c r="N7" i="5" s="1"/>
  <c r="O7" i="5" s="1"/>
  <c r="P7" i="5" s="1"/>
  <c r="I8" i="5"/>
  <c r="J8" i="5" s="1"/>
  <c r="K8" i="5" s="1"/>
  <c r="I9" i="5"/>
  <c r="I10" i="5"/>
  <c r="I11" i="5"/>
  <c r="J11" i="5" s="1"/>
  <c r="K11" i="5" s="1"/>
  <c r="I12" i="5"/>
  <c r="I13" i="5"/>
  <c r="I14" i="5"/>
  <c r="I15" i="5"/>
  <c r="J15" i="5" s="1"/>
  <c r="K15" i="5" s="1"/>
  <c r="I16" i="5"/>
  <c r="I17" i="5"/>
  <c r="I18" i="5"/>
  <c r="J18" i="5" s="1"/>
  <c r="K18" i="5" s="1"/>
  <c r="J9" i="5"/>
  <c r="K9" i="5" s="1"/>
  <c r="J10" i="5"/>
  <c r="K10" i="5" s="1"/>
  <c r="J12" i="5"/>
  <c r="K12" i="5" s="1"/>
  <c r="J13" i="5"/>
  <c r="K13" i="5" s="1"/>
  <c r="J14" i="5"/>
  <c r="K14" i="5" s="1"/>
  <c r="J17" i="5"/>
  <c r="K17" i="5" s="1"/>
  <c r="J16" i="5" l="1"/>
  <c r="K16" i="5" s="1"/>
  <c r="M15" i="5"/>
  <c r="N15" i="5" s="1"/>
  <c r="O15" i="5" s="1"/>
  <c r="P15" i="5" s="1"/>
  <c r="M11" i="5"/>
  <c r="N11" i="5" s="1"/>
  <c r="O11" i="5" s="1"/>
  <c r="P11" i="5" s="1"/>
  <c r="M18" i="5"/>
  <c r="N18" i="5" s="1"/>
  <c r="O18" i="5" s="1"/>
  <c r="P18" i="5" s="1"/>
  <c r="M14" i="5"/>
  <c r="N14" i="5" s="1"/>
  <c r="O14" i="5" s="1"/>
  <c r="P14" i="5" s="1"/>
  <c r="M10" i="5"/>
  <c r="N10" i="5" s="1"/>
  <c r="O10" i="5" s="1"/>
  <c r="P10" i="5" s="1"/>
  <c r="M17" i="5"/>
  <c r="N17" i="5" s="1"/>
  <c r="O17" i="5" s="1"/>
  <c r="P17" i="5" s="1"/>
  <c r="M13" i="5"/>
  <c r="N13" i="5" s="1"/>
  <c r="O13" i="5" s="1"/>
  <c r="P13" i="5" s="1"/>
  <c r="M9" i="5"/>
  <c r="N9" i="5" s="1"/>
  <c r="O9" i="5" s="1"/>
  <c r="P9" i="5" s="1"/>
  <c r="M16" i="5"/>
  <c r="N16" i="5" s="1"/>
  <c r="O16" i="5" s="1"/>
  <c r="P16" i="5" s="1"/>
  <c r="M12" i="5"/>
  <c r="N12" i="5" s="1"/>
  <c r="O12" i="5" s="1"/>
  <c r="P12" i="5" s="1"/>
  <c r="M8" i="5"/>
  <c r="N8" i="5" s="1"/>
  <c r="O8" i="5" s="1"/>
  <c r="P8" i="5" s="1"/>
  <c r="B14" i="3" l="1"/>
  <c r="B15" i="3"/>
  <c r="B16" i="3"/>
  <c r="B17" i="3"/>
  <c r="B18" i="3"/>
  <c r="B19" i="3"/>
  <c r="B20" i="3"/>
  <c r="B21" i="3"/>
  <c r="B22" i="3"/>
  <c r="B23" i="3"/>
  <c r="B24" i="3"/>
  <c r="B13" i="3"/>
  <c r="D24" i="3"/>
  <c r="D14" i="3"/>
  <c r="D15" i="3"/>
  <c r="D16" i="3"/>
  <c r="D17" i="3"/>
  <c r="D18" i="3"/>
  <c r="D19" i="3"/>
  <c r="D20" i="3"/>
  <c r="D21" i="3"/>
  <c r="D22" i="3"/>
  <c r="D23" i="3"/>
  <c r="D13" i="3"/>
  <c r="F8" i="3"/>
  <c r="C14" i="3"/>
  <c r="C15" i="3"/>
  <c r="C16" i="3"/>
  <c r="C17" i="3"/>
  <c r="C18" i="3"/>
  <c r="C19" i="3"/>
  <c r="C20" i="3"/>
  <c r="C21" i="3"/>
  <c r="C22" i="3"/>
  <c r="C23" i="3"/>
  <c r="C24" i="3"/>
  <c r="C13" i="3"/>
  <c r="H12" i="3"/>
  <c r="G12" i="3"/>
  <c r="F12" i="3"/>
</calcChain>
</file>

<file path=xl/sharedStrings.xml><?xml version="1.0" encoding="utf-8"?>
<sst xmlns="http://schemas.openxmlformats.org/spreadsheetml/2006/main" count="89" uniqueCount="74">
  <si>
    <t>g/mol</t>
  </si>
  <si>
    <t>mg</t>
  </si>
  <si>
    <t>m sample</t>
  </si>
  <si>
    <t>ml</t>
  </si>
  <si>
    <t>c</t>
  </si>
  <si>
    <t>g/ml</t>
  </si>
  <si>
    <t>Spectra</t>
  </si>
  <si>
    <t>T, K</t>
  </si>
  <si>
    <t>T, C</t>
  </si>
  <si>
    <t>0C=</t>
  </si>
  <si>
    <t>K</t>
  </si>
  <si>
    <t>ppm2</t>
  </si>
  <si>
    <t>dppm</t>
  </si>
  <si>
    <t>d Hz</t>
  </si>
  <si>
    <t>Apparatus</t>
  </si>
  <si>
    <t>f</t>
  </si>
  <si>
    <t>MHz</t>
  </si>
  <si>
    <t>SFO1</t>
  </si>
  <si>
    <t>Xm corr= Xm-diamag cor</t>
  </si>
  <si>
    <t>ml*K/mol</t>
  </si>
  <si>
    <t>ml/mol</t>
  </si>
  <si>
    <t>Xm=(Xg+X0)*Mr compl</t>
  </si>
  <si>
    <t>ml/g</t>
  </si>
  <si>
    <t>Constants</t>
  </si>
  <si>
    <t>d Hz=d ppm*SFO1</t>
  </si>
  <si>
    <t>http://ddbonline.ddbst.de/DIPPR105DensityCalculation/DIPPR105CalculationCGI.exe</t>
  </si>
  <si>
    <t>MeCN</t>
  </si>
  <si>
    <t>D MeCN</t>
  </si>
  <si>
    <t>g/ml at 298 K</t>
  </si>
  <si>
    <t>D CD3CN</t>
  </si>
  <si>
    <t>D MeCN-d3= D MeCN * k</t>
  </si>
  <si>
    <t>https://spiral.imperial.ac.uk/bitstream/10044/1/10054/6/Britovsek,%20G%20-%20Towards%20Robust%20Alkane%20oxidation%20catalysts%20(ESI).pdf</t>
  </si>
  <si>
    <t>MeCN-d3</t>
  </si>
  <si>
    <t>d, g/ml</t>
  </si>
  <si>
    <t>A</t>
  </si>
  <si>
    <t>B</t>
  </si>
  <si>
    <t>C</t>
  </si>
  <si>
    <t>D</t>
  </si>
  <si>
    <t>k=</t>
  </si>
  <si>
    <t>rt</t>
  </si>
  <si>
    <t>t</t>
  </si>
  <si>
    <t>D/D rt</t>
  </si>
  <si>
    <t>C corr, g/ml</t>
  </si>
  <si>
    <t>Xg, ml/g</t>
  </si>
  <si>
    <t>Xm, ml/mol</t>
  </si>
  <si>
    <t>Xm corr</t>
  </si>
  <si>
    <t>XT, ml*K/mol</t>
  </si>
  <si>
    <t>X0, ml/g</t>
  </si>
  <si>
    <t>The coefficient 3/4π is for the superconducting magnets used currently, where the sample</t>
  </si>
  <si>
    <t>is aligned parallel to the applied magnetic field.</t>
  </si>
  <si>
    <t>Xg= 3/(4*pi) * (dHz/ (f*c) - X0</t>
  </si>
  <si>
    <t>c - conc. of the complex, g/ml</t>
  </si>
  <si>
    <t>x0 - sovent mass susceptibility</t>
  </si>
  <si>
    <t xml:space="preserve">mass susceptibility of solvent </t>
  </si>
  <si>
    <t>http://pubs.acs.org/doi/pdf/10.1021/ed085p532</t>
  </si>
  <si>
    <t>diamag corr= - (Mr compl/2)*10^-6</t>
  </si>
  <si>
    <t>Xg-X0</t>
  </si>
  <si>
    <t>http://www.chimichi.it/facilities/nmr/acetnitr.html</t>
  </si>
  <si>
    <t>X0 depends weakly on temperture</t>
  </si>
  <si>
    <t>Solvent diamagn</t>
  </si>
  <si>
    <t>Complex diamagn</t>
  </si>
  <si>
    <t>ppm1</t>
  </si>
  <si>
    <t>Xd, diamag corr</t>
  </si>
  <si>
    <t>V soltn</t>
  </si>
  <si>
    <t>X0 solvent</t>
  </si>
  <si>
    <t>XT=Xm corr*T</t>
  </si>
  <si>
    <t>Ligand magnetic susceptibility correction</t>
  </si>
  <si>
    <t xml:space="preserve">Xg= 3/(4pi) * dHz/(f*c) + X0 </t>
  </si>
  <si>
    <t>X0=X0solv/(D/D rt)</t>
  </si>
  <si>
    <t>Xo solv</t>
  </si>
  <si>
    <t>ACETONITRILE</t>
  </si>
  <si>
    <t>Total Mw</t>
  </si>
  <si>
    <t>SAMPLE</t>
  </si>
  <si>
    <t>Density of solvent, 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</si>
</sst>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Verdana"/>
      <family val="2"/>
    </font>
    <font>
      <sz val="14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0" borderId="0" xfId="0" applyAlignment="1"/>
    <xf numFmtId="0" fontId="1" fillId="0" borderId="0" xfId="1"/>
    <xf numFmtId="0" fontId="0" fillId="3" borderId="0" xfId="0" applyFill="1"/>
    <xf numFmtId="0" fontId="0" fillId="0" borderId="0" xfId="0" applyFill="1"/>
    <xf numFmtId="0" fontId="2" fillId="0" borderId="0" xfId="0" applyFont="1" applyBorder="1"/>
    <xf numFmtId="0" fontId="2" fillId="0" borderId="0" xfId="0" applyFont="1" applyFill="1" applyBorder="1" applyAlignment="1">
      <alignment horizontal="right" vertical="center" wrapText="1"/>
    </xf>
    <xf numFmtId="165" fontId="0" fillId="3" borderId="0" xfId="0" applyNumberFormat="1" applyFill="1"/>
    <xf numFmtId="165" fontId="0" fillId="4" borderId="0" xfId="0" applyNumberFormat="1" applyFill="1"/>
    <xf numFmtId="11" fontId="0" fillId="0" borderId="0" xfId="0" applyNumberFormat="1"/>
    <xf numFmtId="0" fontId="0" fillId="5" borderId="0" xfId="0" applyFill="1"/>
    <xf numFmtId="2" fontId="0" fillId="6" borderId="0" xfId="0" applyNumberFormat="1" applyFill="1"/>
    <xf numFmtId="0" fontId="0" fillId="6" borderId="0" xfId="0" applyFill="1"/>
    <xf numFmtId="0" fontId="0" fillId="6" borderId="0" xfId="0" applyFill="1" applyBorder="1"/>
    <xf numFmtId="11" fontId="0" fillId="6" borderId="0" xfId="0" applyNumberFormat="1" applyFill="1"/>
    <xf numFmtId="0" fontId="3" fillId="6" borderId="0" xfId="0" applyFont="1" applyFill="1"/>
    <xf numFmtId="164" fontId="0" fillId="6" borderId="0" xfId="0" applyNumberFormat="1" applyFill="1" applyBorder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166" fontId="0" fillId="5" borderId="0" xfId="0" applyNumberFormat="1" applyFill="1" applyBorder="1"/>
    <xf numFmtId="0" fontId="0" fillId="5" borderId="1" xfId="0" applyFill="1" applyBorder="1"/>
    <xf numFmtId="165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5" fontId="0" fillId="5" borderId="0" xfId="0" applyNumberFormat="1" applyFill="1" applyBorder="1"/>
    <xf numFmtId="0" fontId="0" fillId="6" borderId="0" xfId="0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ACN!$A$1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ACN!$B$7:$B$18</c:f>
              <c:numCache>
                <c:formatCode>0.0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ACN!$P$7:$P$18</c:f>
              <c:numCache>
                <c:formatCode>0.00</c:formatCode>
                <c:ptCount val="12"/>
                <c:pt idx="0">
                  <c:v>3.3003828103894288</c:v>
                </c:pt>
                <c:pt idx="1">
                  <c:v>3.3098606832516371</c:v>
                </c:pt>
                <c:pt idx="2">
                  <c:v>3.2967224239637201</c:v>
                </c:pt>
                <c:pt idx="3">
                  <c:v>3.3086695056471056</c:v>
                </c:pt>
                <c:pt idx="4">
                  <c:v>3.2841072714645092</c:v>
                </c:pt>
                <c:pt idx="5">
                  <c:v>3.3322367004208044</c:v>
                </c:pt>
                <c:pt idx="6">
                  <c:v>3.2753857233783354</c:v>
                </c:pt>
                <c:pt idx="7">
                  <c:v>3.3513945783301082</c:v>
                </c:pt>
                <c:pt idx="8">
                  <c:v>3.2968407100859412</c:v>
                </c:pt>
                <c:pt idx="9">
                  <c:v>3.3503644456095838</c:v>
                </c:pt>
                <c:pt idx="10">
                  <c:v>3.3403455021456634</c:v>
                </c:pt>
                <c:pt idx="11">
                  <c:v>3.3485244039822284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92448"/>
        <c:axId val="95594368"/>
      </c:scatterChart>
      <c:valAx>
        <c:axId val="95592448"/>
        <c:scaling>
          <c:orientation val="minMax"/>
          <c:max val="360"/>
          <c:min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94368"/>
        <c:crosses val="autoZero"/>
        <c:crossBetween val="midCat"/>
      </c:valAx>
      <c:valAx>
        <c:axId val="95594368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92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8</xdr:col>
      <xdr:colOff>571500</xdr:colOff>
      <xdr:row>38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323850</xdr:colOff>
      <xdr:row>4</xdr:row>
      <xdr:rowOff>158837</xdr:rowOff>
    </xdr:to>
    <xdr:pic>
      <xdr:nvPicPr>
        <xdr:cNvPr id="2" name="Picture 1" descr="DIPPR105 Equa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43050" cy="90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ubs.acs.org/doi/pdf/10.1021/ed085p5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ddbonline.ddbst.de/DIPPR105DensityCalculation/DIPPR105CalculationCGI.e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L28" sqref="L28"/>
    </sheetView>
  </sheetViews>
  <sheetFormatPr defaultRowHeight="15" x14ac:dyDescent="0.25"/>
  <cols>
    <col min="8" max="8" width="24.140625" customWidth="1"/>
  </cols>
  <sheetData>
    <row r="1" spans="1:20" x14ac:dyDescent="0.25">
      <c r="A1" s="15"/>
      <c r="B1" s="23" t="s">
        <v>70</v>
      </c>
      <c r="C1" s="23"/>
      <c r="D1" s="15"/>
      <c r="E1" s="15"/>
      <c r="F1" s="15"/>
      <c r="G1" s="15"/>
      <c r="H1" s="1">
        <v>129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8.75" x14ac:dyDescent="0.3">
      <c r="A2" s="29" t="s">
        <v>72</v>
      </c>
      <c r="B2" s="15"/>
      <c r="C2" s="16"/>
      <c r="D2" s="15"/>
      <c r="E2" s="15" t="s">
        <v>2</v>
      </c>
      <c r="F2" s="13">
        <v>5.8</v>
      </c>
      <c r="G2" s="15" t="s">
        <v>1</v>
      </c>
      <c r="H2" s="15" t="s">
        <v>64</v>
      </c>
      <c r="I2" s="17">
        <f>-5.24*10^-7</f>
        <v>-5.2399999999999998E-7</v>
      </c>
      <c r="J2" s="15" t="s">
        <v>20</v>
      </c>
      <c r="K2" s="18" t="s">
        <v>57</v>
      </c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29"/>
      <c r="B3" s="15"/>
      <c r="C3" s="15"/>
      <c r="D3" s="15"/>
      <c r="E3" s="15" t="s">
        <v>63</v>
      </c>
      <c r="F3" s="13">
        <v>0.5</v>
      </c>
      <c r="G3" s="15" t="s">
        <v>3</v>
      </c>
      <c r="H3" s="15" t="s">
        <v>40</v>
      </c>
      <c r="I3" s="15">
        <v>18</v>
      </c>
      <c r="J3" s="15" t="s">
        <v>36</v>
      </c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29"/>
      <c r="B4" s="15" t="s">
        <v>71</v>
      </c>
      <c r="C4" s="13">
        <v>741.29</v>
      </c>
      <c r="D4" s="15" t="s">
        <v>0</v>
      </c>
      <c r="E4" s="15" t="s">
        <v>4</v>
      </c>
      <c r="F4" s="15">
        <f>F2/1000/F3</f>
        <v>1.1599999999999999E-2</v>
      </c>
      <c r="G4" s="15" t="s">
        <v>5</v>
      </c>
      <c r="H4" s="15" t="s">
        <v>62</v>
      </c>
      <c r="I4" s="17">
        <f>-(C4/2)*10^-6</f>
        <v>-3.7064499999999996E-4</v>
      </c>
      <c r="J4" s="15" t="s">
        <v>20</v>
      </c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x14ac:dyDescent="0.25">
      <c r="A5" s="29"/>
      <c r="B5" s="15"/>
      <c r="C5" s="15"/>
      <c r="D5" s="15"/>
      <c r="E5" s="15"/>
      <c r="F5" s="15"/>
      <c r="G5" s="15"/>
      <c r="H5" s="15"/>
      <c r="I5" s="15"/>
      <c r="J5" s="15"/>
      <c r="K5" s="15"/>
      <c r="L5" s="15" t="s">
        <v>59</v>
      </c>
      <c r="M5" s="15"/>
      <c r="N5" s="15"/>
      <c r="O5" s="15" t="s">
        <v>60</v>
      </c>
      <c r="P5" s="15"/>
      <c r="Q5" s="15"/>
      <c r="R5" s="15"/>
      <c r="S5" s="15"/>
      <c r="T5" s="15"/>
    </row>
    <row r="6" spans="1:20" x14ac:dyDescent="0.25">
      <c r="A6" s="29" t="s">
        <v>6</v>
      </c>
      <c r="B6" s="15" t="s">
        <v>7</v>
      </c>
      <c r="C6" s="15" t="s">
        <v>8</v>
      </c>
      <c r="D6" s="15" t="s">
        <v>61</v>
      </c>
      <c r="E6" s="15" t="s">
        <v>11</v>
      </c>
      <c r="F6" s="15" t="s">
        <v>12</v>
      </c>
      <c r="G6" s="15" t="s">
        <v>13</v>
      </c>
      <c r="H6" s="15" t="s">
        <v>73</v>
      </c>
      <c r="I6" s="15" t="s">
        <v>41</v>
      </c>
      <c r="J6" s="15" t="s">
        <v>42</v>
      </c>
      <c r="K6" s="15" t="s">
        <v>43</v>
      </c>
      <c r="L6" s="15" t="s">
        <v>47</v>
      </c>
      <c r="M6" s="15" t="s">
        <v>56</v>
      </c>
      <c r="N6" s="16" t="s">
        <v>44</v>
      </c>
      <c r="O6" s="16" t="s">
        <v>45</v>
      </c>
      <c r="P6" s="16" t="s">
        <v>46</v>
      </c>
      <c r="Q6" s="15"/>
      <c r="R6" s="15"/>
      <c r="S6" s="15"/>
      <c r="T6" s="15"/>
    </row>
    <row r="7" spans="1:20" x14ac:dyDescent="0.25">
      <c r="A7" s="29"/>
      <c r="B7" s="19">
        <v>236.7</v>
      </c>
      <c r="C7" s="20">
        <f t="shared" ref="C7:C18" si="0">B7-C$21</f>
        <v>-36.460000000000036</v>
      </c>
      <c r="D7" s="28">
        <v>0</v>
      </c>
      <c r="E7" s="28">
        <v>-0.93100000000000005</v>
      </c>
      <c r="F7" s="21">
        <f>D7-E7</f>
        <v>0.93100000000000005</v>
      </c>
      <c r="G7" s="15">
        <f>F7*C$23</f>
        <v>466.03276717060004</v>
      </c>
      <c r="H7" s="26">
        <f>MeCN!D13</f>
        <v>0.90674964394610846</v>
      </c>
      <c r="I7" s="14">
        <f t="shared" ref="I7:I19" si="1">H7/H$19</f>
        <v>1.0756223534354787</v>
      </c>
      <c r="J7" s="21">
        <f>F$4*I7</f>
        <v>1.2477219299851553E-2</v>
      </c>
      <c r="K7" s="17">
        <f>(3*G7)/(4*3.14*C$22*10^6*J7)</f>
        <v>1.7822369011892264E-5</v>
      </c>
      <c r="L7" s="17">
        <f>I$2/I7</f>
        <v>-4.8715982735610942E-7</v>
      </c>
      <c r="M7" s="17">
        <f>K7-L7</f>
        <v>1.8309528839248374E-5</v>
      </c>
      <c r="N7" s="17">
        <f t="shared" ref="N7:N18" si="2">M7*C$4</f>
        <v>1.3572670633246426E-2</v>
      </c>
      <c r="O7" s="17">
        <f t="shared" ref="O7:O18" si="3">N7-I$4</f>
        <v>1.3943315633246425E-2</v>
      </c>
      <c r="P7" s="14">
        <f>O7*B7</f>
        <v>3.3003828103894288</v>
      </c>
      <c r="Q7" s="15"/>
      <c r="R7" s="15"/>
      <c r="S7" s="15"/>
      <c r="T7" s="15"/>
    </row>
    <row r="8" spans="1:20" x14ac:dyDescent="0.25">
      <c r="A8" s="29"/>
      <c r="B8" s="19">
        <v>243.8</v>
      </c>
      <c r="C8" s="20">
        <f t="shared" si="0"/>
        <v>-29.360000000000014</v>
      </c>
      <c r="D8" s="28">
        <v>0</v>
      </c>
      <c r="E8" s="28">
        <v>-0.89700000000000002</v>
      </c>
      <c r="F8" s="21">
        <f t="shared" ref="F8:F18" si="4">D8-E8</f>
        <v>0.89700000000000002</v>
      </c>
      <c r="G8" s="15">
        <f t="shared" ref="G8:G18" si="5">F8*C$23</f>
        <v>449.01331058220001</v>
      </c>
      <c r="H8" s="26">
        <f>MeCN!D14</f>
        <v>0.89883268042292175</v>
      </c>
      <c r="I8" s="14">
        <f t="shared" si="1"/>
        <v>1.0662309376309866</v>
      </c>
      <c r="J8" s="21">
        <f t="shared" ref="J8:J18" si="6">F$4*I8</f>
        <v>1.2368278876519444E-2</v>
      </c>
      <c r="K8" s="17">
        <f t="shared" ref="K8:K18" si="7">(3*G8)/(4*3.14*C$22*10^6*J8)</f>
        <v>1.7322745815536809E-5</v>
      </c>
      <c r="L8" s="17">
        <f t="shared" ref="L8:L18" si="8">I$2/I8</f>
        <v>-4.9145075565360478E-7</v>
      </c>
      <c r="M8" s="17">
        <f t="shared" ref="M8:M18" si="9">K8-L8</f>
        <v>1.7814196571190412E-5</v>
      </c>
      <c r="N8" s="17">
        <f t="shared" si="2"/>
        <v>1.320548577625774E-2</v>
      </c>
      <c r="O8" s="17">
        <f t="shared" si="3"/>
        <v>1.3576130776257739E-2</v>
      </c>
      <c r="P8" s="14">
        <f t="shared" ref="P8:P18" si="10">O8*B8</f>
        <v>3.3098606832516371</v>
      </c>
      <c r="Q8" s="15"/>
      <c r="R8" s="15"/>
      <c r="S8" s="15"/>
      <c r="T8" s="15"/>
    </row>
    <row r="9" spans="1:20" x14ac:dyDescent="0.25">
      <c r="A9" s="29"/>
      <c r="B9" s="19">
        <v>253.8</v>
      </c>
      <c r="C9" s="20">
        <f t="shared" si="0"/>
        <v>-19.360000000000014</v>
      </c>
      <c r="D9" s="28">
        <v>0</v>
      </c>
      <c r="E9" s="28">
        <v>-0.84499999999999997</v>
      </c>
      <c r="F9" s="21">
        <f t="shared" si="4"/>
        <v>0.84499999999999997</v>
      </c>
      <c r="G9" s="15">
        <f t="shared" si="5"/>
        <v>422.98355344700002</v>
      </c>
      <c r="H9" s="26">
        <f>MeCN!D15</f>
        <v>0.88759724728979517</v>
      </c>
      <c r="I9" s="14">
        <f t="shared" si="1"/>
        <v>1.0529030216960797</v>
      </c>
      <c r="J9" s="21">
        <f t="shared" si="6"/>
        <v>1.2213675051674524E-2</v>
      </c>
      <c r="K9" s="17">
        <f t="shared" si="7"/>
        <v>1.6525092779336052E-5</v>
      </c>
      <c r="L9" s="17">
        <f t="shared" si="8"/>
        <v>-4.9767166510350514E-7</v>
      </c>
      <c r="M9" s="17">
        <f t="shared" si="9"/>
        <v>1.7022764444439557E-5</v>
      </c>
      <c r="N9" s="17">
        <f t="shared" si="2"/>
        <v>1.2618805055018598E-2</v>
      </c>
      <c r="O9" s="17">
        <f t="shared" si="3"/>
        <v>1.2989450055018597E-2</v>
      </c>
      <c r="P9" s="14">
        <f t="shared" si="10"/>
        <v>3.2967224239637201</v>
      </c>
      <c r="Q9" s="15"/>
      <c r="R9" s="15"/>
      <c r="S9" s="15"/>
      <c r="T9" s="15"/>
    </row>
    <row r="10" spans="1:20" x14ac:dyDescent="0.25">
      <c r="A10" s="29"/>
      <c r="B10" s="19">
        <v>263.89999999999998</v>
      </c>
      <c r="C10" s="20">
        <f t="shared" si="0"/>
        <v>-9.2600000000000477</v>
      </c>
      <c r="D10" s="28">
        <v>0</v>
      </c>
      <c r="E10" s="28">
        <v>-0.80300000000000005</v>
      </c>
      <c r="F10" s="21">
        <f t="shared" si="4"/>
        <v>0.80300000000000005</v>
      </c>
      <c r="G10" s="15">
        <f t="shared" si="5"/>
        <v>401.95951883780003</v>
      </c>
      <c r="H10" s="26">
        <f>MeCN!D16</f>
        <v>0.87614326137222842</v>
      </c>
      <c r="I10" s="14">
        <f t="shared" si="1"/>
        <v>1.0393158497891204</v>
      </c>
      <c r="J10" s="21">
        <f t="shared" si="6"/>
        <v>1.2056063857553796E-2</v>
      </c>
      <c r="K10" s="17">
        <f t="shared" si="7"/>
        <v>1.5909025005549412E-5</v>
      </c>
      <c r="L10" s="17">
        <f t="shared" si="8"/>
        <v>-5.0417782054061887E-7</v>
      </c>
      <c r="M10" s="17">
        <f t="shared" si="9"/>
        <v>1.641320282609003E-5</v>
      </c>
      <c r="N10" s="17">
        <f t="shared" si="2"/>
        <v>1.2166943122952278E-2</v>
      </c>
      <c r="O10" s="17">
        <f t="shared" si="3"/>
        <v>1.2537588122952277E-2</v>
      </c>
      <c r="P10" s="14">
        <f t="shared" si="10"/>
        <v>3.3086695056471056</v>
      </c>
      <c r="Q10" s="15"/>
      <c r="R10" s="15"/>
      <c r="S10" s="15"/>
      <c r="T10" s="15"/>
    </row>
    <row r="11" spans="1:20" x14ac:dyDescent="0.25">
      <c r="A11" s="29"/>
      <c r="B11" s="19">
        <v>272</v>
      </c>
      <c r="C11" s="20">
        <f t="shared" si="0"/>
        <v>-1.160000000000025</v>
      </c>
      <c r="D11" s="28">
        <v>0</v>
      </c>
      <c r="E11" s="28">
        <v>-0.76300000000000001</v>
      </c>
      <c r="F11" s="21">
        <f t="shared" si="4"/>
        <v>0.76300000000000001</v>
      </c>
      <c r="G11" s="15">
        <f t="shared" si="5"/>
        <v>381.93662873380003</v>
      </c>
      <c r="H11" s="26">
        <f>MeCN!D17</f>
        <v>0.86687575638298109</v>
      </c>
      <c r="I11" s="14">
        <f t="shared" si="1"/>
        <v>1.0283223681885898</v>
      </c>
      <c r="J11" s="21">
        <f t="shared" si="6"/>
        <v>1.1928539470987641E-2</v>
      </c>
      <c r="K11" s="17">
        <f t="shared" si="7"/>
        <v>1.5278151942949469E-5</v>
      </c>
      <c r="L11" s="17">
        <f t="shared" si="8"/>
        <v>-5.0956783223828567E-7</v>
      </c>
      <c r="M11" s="17">
        <f t="shared" si="9"/>
        <v>1.5787719775187755E-5</v>
      </c>
      <c r="N11" s="17">
        <f t="shared" si="2"/>
        <v>1.1703278792148931E-2</v>
      </c>
      <c r="O11" s="17">
        <f t="shared" si="3"/>
        <v>1.207392379214893E-2</v>
      </c>
      <c r="P11" s="14">
        <f t="shared" si="10"/>
        <v>3.2841072714645092</v>
      </c>
      <c r="Q11" s="15"/>
      <c r="R11" s="15"/>
      <c r="S11" s="15"/>
      <c r="T11" s="15"/>
    </row>
    <row r="12" spans="1:20" x14ac:dyDescent="0.25">
      <c r="A12" s="29"/>
      <c r="B12" s="19">
        <v>282.10000000000002</v>
      </c>
      <c r="C12" s="20">
        <f t="shared" si="0"/>
        <v>8.9399999999999977</v>
      </c>
      <c r="D12" s="28">
        <v>0</v>
      </c>
      <c r="E12" s="28">
        <v>-0.73499999999999999</v>
      </c>
      <c r="F12" s="21">
        <f t="shared" si="4"/>
        <v>0.73499999999999999</v>
      </c>
      <c r="G12" s="15">
        <f t="shared" si="5"/>
        <v>367.92060566100002</v>
      </c>
      <c r="H12" s="26">
        <f>MeCN!D18</f>
        <v>0.85521201759099608</v>
      </c>
      <c r="I12" s="14">
        <f t="shared" si="1"/>
        <v>1.014486379111502</v>
      </c>
      <c r="J12" s="21">
        <f t="shared" si="6"/>
        <v>1.1768041997693423E-2</v>
      </c>
      <c r="K12" s="17">
        <f t="shared" si="7"/>
        <v>1.4918209036937162E-5</v>
      </c>
      <c r="L12" s="17">
        <f t="shared" si="8"/>
        <v>-5.1651753122493851E-7</v>
      </c>
      <c r="M12" s="17">
        <f t="shared" si="9"/>
        <v>1.5434726568162102E-5</v>
      </c>
      <c r="N12" s="17">
        <f t="shared" si="2"/>
        <v>1.1441608457712884E-2</v>
      </c>
      <c r="O12" s="17">
        <f t="shared" si="3"/>
        <v>1.1812253457712883E-2</v>
      </c>
      <c r="P12" s="14">
        <f t="shared" si="10"/>
        <v>3.3322367004208044</v>
      </c>
      <c r="Q12" s="15"/>
      <c r="R12" s="15"/>
      <c r="S12" s="15"/>
      <c r="T12" s="15"/>
    </row>
    <row r="13" spans="1:20" x14ac:dyDescent="0.25">
      <c r="A13" s="29"/>
      <c r="B13" s="19">
        <v>292.2</v>
      </c>
      <c r="C13" s="20">
        <f t="shared" si="0"/>
        <v>19.039999999999964</v>
      </c>
      <c r="D13" s="28">
        <v>0</v>
      </c>
      <c r="E13" s="28">
        <v>-0.68500000000000005</v>
      </c>
      <c r="F13" s="21">
        <f t="shared" si="4"/>
        <v>0.68500000000000005</v>
      </c>
      <c r="G13" s="15">
        <f t="shared" si="5"/>
        <v>342.89199303100003</v>
      </c>
      <c r="H13" s="26">
        <f>MeCN!D19</f>
        <v>0.84342095544066675</v>
      </c>
      <c r="I13" s="14">
        <f t="shared" si="1"/>
        <v>1.0004993540221432</v>
      </c>
      <c r="J13" s="21">
        <f t="shared" si="6"/>
        <v>1.1605792506656861E-2</v>
      </c>
      <c r="K13" s="17">
        <f t="shared" si="7"/>
        <v>1.409773453896567E-5</v>
      </c>
      <c r="L13" s="17">
        <f t="shared" si="8"/>
        <v>-5.237384690889093E-7</v>
      </c>
      <c r="M13" s="17">
        <f t="shared" si="9"/>
        <v>1.462147300805458E-5</v>
      </c>
      <c r="N13" s="17">
        <f t="shared" si="2"/>
        <v>1.083875172614078E-2</v>
      </c>
      <c r="O13" s="17">
        <f t="shared" si="3"/>
        <v>1.1209396726140779E-2</v>
      </c>
      <c r="P13" s="14">
        <f t="shared" si="10"/>
        <v>3.2753857233783354</v>
      </c>
      <c r="Q13" s="15"/>
      <c r="R13" s="15"/>
      <c r="S13" s="15"/>
      <c r="T13" s="15"/>
    </row>
    <row r="14" spans="1:20" x14ac:dyDescent="0.25">
      <c r="A14" s="29"/>
      <c r="B14" s="19">
        <v>302.3</v>
      </c>
      <c r="C14" s="20">
        <f t="shared" si="0"/>
        <v>29.139999999999986</v>
      </c>
      <c r="D14" s="28">
        <v>0</v>
      </c>
      <c r="E14" s="28">
        <v>-0.66700000000000004</v>
      </c>
      <c r="F14" s="21">
        <f t="shared" si="4"/>
        <v>0.66700000000000004</v>
      </c>
      <c r="G14" s="15">
        <f t="shared" si="5"/>
        <v>333.88169248420002</v>
      </c>
      <c r="H14" s="26">
        <f>MeCN!D20</f>
        <v>0.83149374744086968</v>
      </c>
      <c r="I14" s="14">
        <f t="shared" si="1"/>
        <v>0.98635082733199253</v>
      </c>
      <c r="J14" s="21">
        <f t="shared" si="6"/>
        <v>1.1441669597051113E-2</v>
      </c>
      <c r="K14" s="17">
        <f t="shared" si="7"/>
        <v>1.3924191589733479E-5</v>
      </c>
      <c r="L14" s="17">
        <f t="shared" si="8"/>
        <v>-5.3125113851973136E-7</v>
      </c>
      <c r="M14" s="17">
        <f t="shared" si="9"/>
        <v>1.4455442728253211E-5</v>
      </c>
      <c r="N14" s="17">
        <f t="shared" si="2"/>
        <v>1.0715675140026823E-2</v>
      </c>
      <c r="O14" s="17">
        <f t="shared" si="3"/>
        <v>1.1086320140026822E-2</v>
      </c>
      <c r="P14" s="14">
        <f t="shared" si="10"/>
        <v>3.3513945783301082</v>
      </c>
      <c r="Q14" s="15"/>
      <c r="R14" s="15"/>
      <c r="S14" s="15"/>
      <c r="T14" s="15"/>
    </row>
    <row r="15" spans="1:20" x14ac:dyDescent="0.25">
      <c r="A15" s="29"/>
      <c r="B15" s="19">
        <v>312.39999999999998</v>
      </c>
      <c r="C15" s="20">
        <f t="shared" si="0"/>
        <v>39.239999999999952</v>
      </c>
      <c r="D15" s="28">
        <v>0</v>
      </c>
      <c r="E15" s="28">
        <v>-0.623</v>
      </c>
      <c r="F15" s="21">
        <f t="shared" si="4"/>
        <v>0.623</v>
      </c>
      <c r="G15" s="15">
        <f t="shared" si="5"/>
        <v>311.85651336979998</v>
      </c>
      <c r="H15" s="26">
        <f>MeCN!D21</f>
        <v>0.81942061555349999</v>
      </c>
      <c r="I15" s="14">
        <f t="shared" si="1"/>
        <v>0.97202919994483983</v>
      </c>
      <c r="J15" s="21">
        <f t="shared" si="6"/>
        <v>1.1275538719360141E-2</v>
      </c>
      <c r="K15" s="17">
        <f t="shared" si="7"/>
        <v>1.3197276166401893E-5</v>
      </c>
      <c r="L15" s="17">
        <f t="shared" si="8"/>
        <v>-5.39078455698384E-7</v>
      </c>
      <c r="M15" s="17">
        <f t="shared" si="9"/>
        <v>1.3736354622100277E-5</v>
      </c>
      <c r="N15" s="17">
        <f t="shared" si="2"/>
        <v>1.0182622317816714E-2</v>
      </c>
      <c r="O15" s="17">
        <f t="shared" si="3"/>
        <v>1.0553267317816714E-2</v>
      </c>
      <c r="P15" s="14">
        <f t="shared" si="10"/>
        <v>3.2968407100859412</v>
      </c>
      <c r="Q15" s="15"/>
      <c r="R15" s="15"/>
      <c r="S15" s="15"/>
      <c r="T15" s="15"/>
    </row>
    <row r="16" spans="1:20" x14ac:dyDescent="0.25">
      <c r="A16" s="29"/>
      <c r="B16" s="19">
        <v>322.5</v>
      </c>
      <c r="C16" s="20">
        <f t="shared" si="0"/>
        <v>49.339999999999975</v>
      </c>
      <c r="D16" s="28">
        <v>0</v>
      </c>
      <c r="E16" s="28">
        <v>-0.60299999999999998</v>
      </c>
      <c r="F16" s="21">
        <f t="shared" si="4"/>
        <v>0.60299999999999998</v>
      </c>
      <c r="G16" s="15">
        <f t="shared" si="5"/>
        <v>301.84506831779998</v>
      </c>
      <c r="H16" s="26">
        <f>MeCN!D22</f>
        <v>0.80719067687712054</v>
      </c>
      <c r="I16" s="14">
        <f t="shared" si="1"/>
        <v>0.95752156213181561</v>
      </c>
      <c r="J16" s="21">
        <f t="shared" si="6"/>
        <v>1.1107250120729059E-2</v>
      </c>
      <c r="K16" s="17">
        <f t="shared" si="7"/>
        <v>1.2967143568146031E-5</v>
      </c>
      <c r="L16" s="17">
        <f t="shared" si="8"/>
        <v>-5.472461620951617E-7</v>
      </c>
      <c r="M16" s="17">
        <f t="shared" si="9"/>
        <v>1.3514389730241192E-5</v>
      </c>
      <c r="N16" s="17">
        <f t="shared" si="2"/>
        <v>1.0018081963130494E-2</v>
      </c>
      <c r="O16" s="17">
        <f t="shared" si="3"/>
        <v>1.0388726963130493E-2</v>
      </c>
      <c r="P16" s="14">
        <f t="shared" si="10"/>
        <v>3.3503644456095838</v>
      </c>
      <c r="Q16" s="15"/>
      <c r="R16" s="15"/>
      <c r="S16" s="15"/>
      <c r="T16" s="15"/>
    </row>
    <row r="17" spans="1:20" x14ac:dyDescent="0.25">
      <c r="A17" s="29"/>
      <c r="B17" s="19">
        <v>332.6</v>
      </c>
      <c r="C17" s="20">
        <f t="shared" si="0"/>
        <v>59.44</v>
      </c>
      <c r="D17" s="28">
        <v>0</v>
      </c>
      <c r="E17" s="28">
        <v>-0.57199999999999995</v>
      </c>
      <c r="F17" s="21">
        <f t="shared" si="4"/>
        <v>0.57199999999999995</v>
      </c>
      <c r="G17" s="15">
        <f t="shared" si="5"/>
        <v>286.32732848719996</v>
      </c>
      <c r="H17" s="26">
        <f>MeCN!D23</f>
        <v>0.79479176314839417</v>
      </c>
      <c r="I17" s="14">
        <f t="shared" si="1"/>
        <v>0.94281347941683769</v>
      </c>
      <c r="J17" s="21">
        <f t="shared" si="6"/>
        <v>1.0936636361235316E-2</v>
      </c>
      <c r="K17" s="17">
        <f t="shared" si="7"/>
        <v>1.2492398093499649E-5</v>
      </c>
      <c r="L17" s="17">
        <f t="shared" si="8"/>
        <v>-5.5578331392134089E-7</v>
      </c>
      <c r="M17" s="17">
        <f t="shared" si="9"/>
        <v>1.304818140742099E-5</v>
      </c>
      <c r="N17" s="17">
        <f t="shared" si="2"/>
        <v>9.6724863955071055E-3</v>
      </c>
      <c r="O17" s="17">
        <f t="shared" si="3"/>
        <v>1.0043131395507105E-2</v>
      </c>
      <c r="P17" s="14">
        <f t="shared" si="10"/>
        <v>3.3403455021456634</v>
      </c>
      <c r="Q17" s="15"/>
      <c r="R17" s="15"/>
      <c r="S17" s="15"/>
      <c r="T17" s="15"/>
    </row>
    <row r="18" spans="1:20" x14ac:dyDescent="0.25">
      <c r="A18" s="29"/>
      <c r="B18" s="19">
        <v>342.7</v>
      </c>
      <c r="C18" s="20">
        <f t="shared" si="0"/>
        <v>69.539999999999964</v>
      </c>
      <c r="D18" s="28">
        <v>0</v>
      </c>
      <c r="E18" s="28">
        <v>-0.54600000000000004</v>
      </c>
      <c r="F18" s="21">
        <f t="shared" si="4"/>
        <v>0.54600000000000004</v>
      </c>
      <c r="G18" s="15">
        <f t="shared" si="5"/>
        <v>273.31244991960006</v>
      </c>
      <c r="H18" s="26">
        <f>MeCN!D24</f>
        <v>0.78221020075038683</v>
      </c>
      <c r="I18" s="14">
        <f t="shared" si="1"/>
        <v>0.92788873161374474</v>
      </c>
      <c r="J18" s="21">
        <f t="shared" si="6"/>
        <v>1.0763509286719439E-2</v>
      </c>
      <c r="K18" s="17">
        <f t="shared" si="7"/>
        <v>1.2116363992484237E-5</v>
      </c>
      <c r="L18" s="17">
        <f t="shared" si="8"/>
        <v>-5.6472288340939481E-7</v>
      </c>
      <c r="M18" s="17">
        <f t="shared" si="9"/>
        <v>1.2681086875893633E-5</v>
      </c>
      <c r="N18" s="17">
        <f t="shared" si="2"/>
        <v>9.4003628902311898E-3</v>
      </c>
      <c r="O18" s="17">
        <f t="shared" si="3"/>
        <v>9.7710078902311891E-3</v>
      </c>
      <c r="P18" s="14">
        <f t="shared" si="10"/>
        <v>3.3485244039822284</v>
      </c>
      <c r="Q18" s="15"/>
      <c r="R18" s="15"/>
      <c r="S18" s="15"/>
      <c r="T18" s="15"/>
    </row>
    <row r="19" spans="1:20" x14ac:dyDescent="0.25">
      <c r="A19" s="22"/>
      <c r="B19" s="19"/>
      <c r="C19" s="20">
        <f>I3</f>
        <v>18</v>
      </c>
      <c r="D19" s="21"/>
      <c r="E19" s="21"/>
      <c r="F19" s="21"/>
      <c r="G19" s="15" t="s">
        <v>39</v>
      </c>
      <c r="H19" s="27">
        <v>0.84299999999999997</v>
      </c>
      <c r="I19" s="14">
        <f t="shared" si="1"/>
        <v>1</v>
      </c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</row>
    <row r="20" spans="1:20" ht="18.75" x14ac:dyDescent="0.3">
      <c r="A20" s="22"/>
      <c r="B20" s="19"/>
      <c r="C20" s="20"/>
      <c r="D20" s="21"/>
      <c r="E20" s="21"/>
      <c r="F20" s="21"/>
      <c r="G20" s="15"/>
      <c r="H20" s="15"/>
      <c r="I20" s="14"/>
      <c r="J20" s="15"/>
      <c r="K20" s="15"/>
      <c r="L20" s="17"/>
      <c r="M20" s="18"/>
      <c r="N20" s="15"/>
      <c r="O20" s="15"/>
      <c r="P20" s="15"/>
      <c r="Q20" s="15"/>
      <c r="R20" s="15"/>
      <c r="S20" s="15"/>
      <c r="T20" s="15"/>
    </row>
    <row r="21" spans="1:20" x14ac:dyDescent="0.25">
      <c r="A21" s="15" t="s">
        <v>23</v>
      </c>
      <c r="B21" s="15"/>
      <c r="C21" s="15">
        <v>273.16000000000003</v>
      </c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5">
      <c r="A22" s="29" t="s">
        <v>14</v>
      </c>
      <c r="B22" s="15" t="s">
        <v>15</v>
      </c>
      <c r="C22" s="24">
        <v>500.57001250000002</v>
      </c>
      <c r="D22" s="15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5.75" thickBot="1" x14ac:dyDescent="0.3">
      <c r="A23" s="29"/>
      <c r="B23" s="15" t="s">
        <v>17</v>
      </c>
      <c r="C23" s="25">
        <v>500.57225260000001</v>
      </c>
      <c r="D23" s="15" t="s">
        <v>16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x14ac:dyDescent="0.25">
      <c r="A24" s="2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</sheetData>
  <mergeCells count="3">
    <mergeCell ref="A2:A5"/>
    <mergeCell ref="A6:A18"/>
    <mergeCell ref="A22:A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zoomScaleNormal="115" workbookViewId="0">
      <selection activeCell="B11" sqref="B11"/>
    </sheetView>
  </sheetViews>
  <sheetFormatPr defaultRowHeight="15" x14ac:dyDescent="0.25"/>
  <cols>
    <col min="1" max="1" width="30.42578125" customWidth="1"/>
  </cols>
  <sheetData>
    <row r="1" spans="1:7" x14ac:dyDescent="0.25">
      <c r="A1" t="s">
        <v>65</v>
      </c>
      <c r="B1" t="s">
        <v>19</v>
      </c>
    </row>
    <row r="2" spans="1:7" x14ac:dyDescent="0.25">
      <c r="A2" t="s">
        <v>18</v>
      </c>
      <c r="B2" t="s">
        <v>20</v>
      </c>
    </row>
    <row r="3" spans="1:7" x14ac:dyDescent="0.25">
      <c r="A3" t="s">
        <v>55</v>
      </c>
      <c r="B3" t="s">
        <v>20</v>
      </c>
      <c r="C3" t="s">
        <v>66</v>
      </c>
      <c r="G3" s="5" t="s">
        <v>54</v>
      </c>
    </row>
    <row r="4" spans="1:7" x14ac:dyDescent="0.25">
      <c r="A4" t="s">
        <v>21</v>
      </c>
      <c r="B4" t="s">
        <v>20</v>
      </c>
    </row>
    <row r="5" spans="1:7" x14ac:dyDescent="0.25">
      <c r="A5" s="1" t="s">
        <v>67</v>
      </c>
      <c r="B5" s="4" t="s">
        <v>22</v>
      </c>
    </row>
    <row r="6" spans="1:7" x14ac:dyDescent="0.25">
      <c r="A6" s="4" t="s">
        <v>68</v>
      </c>
      <c r="B6" s="4" t="s">
        <v>20</v>
      </c>
      <c r="C6" t="s">
        <v>53</v>
      </c>
    </row>
    <row r="8" spans="1:7" x14ac:dyDescent="0.25">
      <c r="A8" t="s">
        <v>48</v>
      </c>
    </row>
    <row r="9" spans="1:7" x14ac:dyDescent="0.25">
      <c r="A9" t="s">
        <v>49</v>
      </c>
    </row>
    <row r="11" spans="1:7" x14ac:dyDescent="0.25">
      <c r="A11" t="s">
        <v>69</v>
      </c>
      <c r="B11" s="12" t="e">
        <f>#REF!</f>
        <v>#REF!</v>
      </c>
      <c r="C11" t="s">
        <v>20</v>
      </c>
      <c r="D11" t="s">
        <v>58</v>
      </c>
      <c r="G11" t="s">
        <v>57</v>
      </c>
    </row>
    <row r="12" spans="1:7" ht="15.75" thickBot="1" x14ac:dyDescent="0.3">
      <c r="A12" s="3" t="s">
        <v>24</v>
      </c>
    </row>
    <row r="14" spans="1:7" x14ac:dyDescent="0.25">
      <c r="A14" t="s">
        <v>50</v>
      </c>
    </row>
    <row r="15" spans="1:7" x14ac:dyDescent="0.25">
      <c r="A15" t="s">
        <v>51</v>
      </c>
    </row>
    <row r="16" spans="1:7" x14ac:dyDescent="0.25">
      <c r="A16" t="s">
        <v>52</v>
      </c>
    </row>
  </sheetData>
  <hyperlinks>
    <hyperlink ref="G3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>
      <selection activeCell="D16" sqref="D16"/>
    </sheetView>
  </sheetViews>
  <sheetFormatPr defaultRowHeight="15" x14ac:dyDescent="0.25"/>
  <sheetData>
    <row r="2" spans="1:9" x14ac:dyDescent="0.25">
      <c r="D2" s="5" t="s">
        <v>25</v>
      </c>
    </row>
    <row r="6" spans="1:9" x14ac:dyDescent="0.25">
      <c r="A6" t="s">
        <v>30</v>
      </c>
      <c r="D6" t="s">
        <v>31</v>
      </c>
    </row>
    <row r="8" spans="1:9" x14ac:dyDescent="0.25">
      <c r="A8" t="s">
        <v>27</v>
      </c>
      <c r="B8">
        <v>0.78600000000000003</v>
      </c>
      <c r="C8" t="s">
        <v>28</v>
      </c>
      <c r="E8" t="s">
        <v>38</v>
      </c>
      <c r="F8">
        <f>B9/B8</f>
        <v>1.0737913486005088</v>
      </c>
    </row>
    <row r="9" spans="1:9" x14ac:dyDescent="0.25">
      <c r="A9" t="s">
        <v>29</v>
      </c>
      <c r="B9">
        <v>0.84399999999999997</v>
      </c>
      <c r="C9" t="s">
        <v>28</v>
      </c>
    </row>
    <row r="10" spans="1:9" x14ac:dyDescent="0.25">
      <c r="A10" t="s">
        <v>9</v>
      </c>
      <c r="B10">
        <v>273.16000000000003</v>
      </c>
      <c r="C10" t="s">
        <v>10</v>
      </c>
    </row>
    <row r="11" spans="1:9" x14ac:dyDescent="0.25">
      <c r="A11" s="7"/>
      <c r="C11" s="6" t="s">
        <v>26</v>
      </c>
      <c r="D11" s="6" t="s">
        <v>32</v>
      </c>
      <c r="F11" s="2" t="s">
        <v>34</v>
      </c>
      <c r="G11" s="2" t="s">
        <v>35</v>
      </c>
      <c r="H11" s="2" t="s">
        <v>36</v>
      </c>
      <c r="I11" s="2" t="s">
        <v>37</v>
      </c>
    </row>
    <row r="12" spans="1:9" x14ac:dyDescent="0.25">
      <c r="A12" t="s">
        <v>7</v>
      </c>
      <c r="B12" t="s">
        <v>8</v>
      </c>
      <c r="C12" t="s">
        <v>33</v>
      </c>
      <c r="D12" t="s">
        <v>33</v>
      </c>
      <c r="F12" s="8">
        <f>76.9138</f>
        <v>76.913799999999995</v>
      </c>
      <c r="G12" s="8">
        <f>0.267818</f>
        <v>0.267818</v>
      </c>
      <c r="H12" s="8">
        <f>547.85</f>
        <v>547.85</v>
      </c>
      <c r="I12" s="9">
        <v>0.35368699999999997</v>
      </c>
    </row>
    <row r="13" spans="1:9" x14ac:dyDescent="0.25">
      <c r="A13">
        <v>236.7</v>
      </c>
      <c r="B13">
        <f>A13-B$10</f>
        <v>-36.460000000000036</v>
      </c>
      <c r="C13" s="10">
        <f>F$12/(G$12^(1+(1-A13/H$12)^I$12))/1000</f>
        <v>0.84443746462279778</v>
      </c>
      <c r="D13" s="11">
        <f>C13*F$8</f>
        <v>0.90674964394610846</v>
      </c>
    </row>
    <row r="14" spans="1:9" x14ac:dyDescent="0.25">
      <c r="A14">
        <v>243.8</v>
      </c>
      <c r="B14">
        <f t="shared" ref="B14:B24" si="0">A14-B$10</f>
        <v>-29.360000000000014</v>
      </c>
      <c r="C14" s="10">
        <f t="shared" ref="C14:C24" si="1">F$12/(G$12^(1+(1-A14/H$12)^I$12))/1000</f>
        <v>0.83706455783461675</v>
      </c>
      <c r="D14" s="11">
        <f t="shared" ref="D14:D23" si="2">C14*F$8</f>
        <v>0.89883268042292175</v>
      </c>
    </row>
    <row r="15" spans="1:9" x14ac:dyDescent="0.25">
      <c r="A15">
        <v>253.8</v>
      </c>
      <c r="B15">
        <f t="shared" si="0"/>
        <v>-19.360000000000014</v>
      </c>
      <c r="C15" s="10">
        <f t="shared" si="1"/>
        <v>0.82660122792627844</v>
      </c>
      <c r="D15" s="11">
        <f t="shared" si="2"/>
        <v>0.88759724728979517</v>
      </c>
    </row>
    <row r="16" spans="1:9" x14ac:dyDescent="0.25">
      <c r="A16">
        <v>263.89999999999998</v>
      </c>
      <c r="B16">
        <f t="shared" si="0"/>
        <v>-9.2600000000000477</v>
      </c>
      <c r="C16" s="10">
        <f t="shared" si="1"/>
        <v>0.81593436426371035</v>
      </c>
      <c r="D16" s="11">
        <f t="shared" si="2"/>
        <v>0.87614326137222842</v>
      </c>
    </row>
    <row r="17" spans="1:5" x14ac:dyDescent="0.25">
      <c r="A17">
        <v>272</v>
      </c>
      <c r="B17">
        <f t="shared" si="0"/>
        <v>-1.160000000000025</v>
      </c>
      <c r="C17" s="10">
        <f t="shared" si="1"/>
        <v>0.80730372573107012</v>
      </c>
      <c r="D17" s="11">
        <f t="shared" si="2"/>
        <v>0.86687575638298109</v>
      </c>
    </row>
    <row r="18" spans="1:5" x14ac:dyDescent="0.25">
      <c r="A18">
        <v>282.10000000000002</v>
      </c>
      <c r="B18">
        <f t="shared" si="0"/>
        <v>8.9399999999999977</v>
      </c>
      <c r="C18" s="10">
        <f t="shared" si="1"/>
        <v>0.79644152349114095</v>
      </c>
      <c r="D18" s="11">
        <f t="shared" si="2"/>
        <v>0.85521201759099608</v>
      </c>
    </row>
    <row r="19" spans="1:5" x14ac:dyDescent="0.25">
      <c r="A19">
        <v>292.2</v>
      </c>
      <c r="B19">
        <f t="shared" si="0"/>
        <v>19.039999999999964</v>
      </c>
      <c r="C19" s="10">
        <f t="shared" si="1"/>
        <v>0.78546074760232709</v>
      </c>
      <c r="D19" s="11">
        <f t="shared" si="2"/>
        <v>0.84342095544066675</v>
      </c>
    </row>
    <row r="20" spans="1:5" x14ac:dyDescent="0.25">
      <c r="A20">
        <v>302.3</v>
      </c>
      <c r="B20">
        <f t="shared" si="0"/>
        <v>29.139999999999986</v>
      </c>
      <c r="C20" s="10">
        <f t="shared" si="1"/>
        <v>0.77435318185844026</v>
      </c>
      <c r="D20" s="11">
        <f t="shared" si="2"/>
        <v>0.83149374744086968</v>
      </c>
    </row>
    <row r="21" spans="1:5" x14ac:dyDescent="0.25">
      <c r="A21">
        <v>312.39999999999998</v>
      </c>
      <c r="B21">
        <f t="shared" si="0"/>
        <v>39.239999999999952</v>
      </c>
      <c r="C21" s="10">
        <f t="shared" si="1"/>
        <v>0.76310972017186141</v>
      </c>
      <c r="D21" s="11">
        <f t="shared" si="2"/>
        <v>0.81942061555349999</v>
      </c>
    </row>
    <row r="22" spans="1:5" x14ac:dyDescent="0.25">
      <c r="A22">
        <v>322.5</v>
      </c>
      <c r="B22">
        <f t="shared" si="0"/>
        <v>49.339999999999975</v>
      </c>
      <c r="C22" s="10">
        <f t="shared" si="1"/>
        <v>0.75172022751826628</v>
      </c>
      <c r="D22" s="11">
        <f t="shared" si="2"/>
        <v>0.80719067687712054</v>
      </c>
    </row>
    <row r="23" spans="1:5" x14ac:dyDescent="0.25">
      <c r="A23">
        <v>332.6</v>
      </c>
      <c r="B23">
        <f t="shared" si="0"/>
        <v>59.44</v>
      </c>
      <c r="C23" s="10">
        <f t="shared" si="1"/>
        <v>0.74017337184198795</v>
      </c>
      <c r="D23" s="11">
        <f t="shared" si="2"/>
        <v>0.79479176314839417</v>
      </c>
    </row>
    <row r="24" spans="1:5" x14ac:dyDescent="0.25">
      <c r="A24">
        <v>342.7</v>
      </c>
      <c r="B24">
        <f t="shared" si="0"/>
        <v>69.539999999999964</v>
      </c>
      <c r="C24" s="10">
        <f t="shared" si="1"/>
        <v>0.72845641918223236</v>
      </c>
      <c r="D24" s="11">
        <f>C24*F$8</f>
        <v>0.78221020075038683</v>
      </c>
    </row>
    <row r="25" spans="1:5" x14ac:dyDescent="0.25">
      <c r="A25">
        <f>B10+B25</f>
        <v>300.16000000000003</v>
      </c>
      <c r="B25" s="1">
        <v>27</v>
      </c>
      <c r="C25" s="10">
        <f>F$12/(G$12^(1+(1-A25/H$12)^I$12))/1000</f>
        <v>0.77671769091315634</v>
      </c>
      <c r="D25" s="11">
        <f>C25*F$8</f>
        <v>0.83403273680751133</v>
      </c>
      <c r="E25" t="s">
        <v>39</v>
      </c>
    </row>
    <row r="26" spans="1:5" x14ac:dyDescent="0.25">
      <c r="A26">
        <f>B10+B26</f>
        <v>293.16000000000003</v>
      </c>
      <c r="B26">
        <v>20</v>
      </c>
      <c r="C26" s="10">
        <f>F$12/(G$12^(1+(1-A26/H$12)^I$12))/1000</f>
        <v>0.78441056779959417</v>
      </c>
      <c r="D26" s="11">
        <f>C26*F$8</f>
        <v>0.84229328145401705</v>
      </c>
    </row>
  </sheetData>
  <hyperlinks>
    <hyperlink ref="D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ACN</vt:lpstr>
      <vt:lpstr>Formulas</vt:lpstr>
      <vt:lpstr>MeCN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2018-04-12T20:00:14Z</dcterms:modified>
</cp:coreProperties>
</file>